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https://api.box.com/wopi/files/976812850989/WOPIServiceId_TP_BOX_2/WOPIUserId_11255340236/"/>
    </mc:Choice>
  </mc:AlternateContent>
  <xr:revisionPtr revIDLastSave="703" documentId="13_ncr:1_{02CEAB61-BEE4-4811-8A6C-FA5C5B0FFE80}" xr6:coauthVersionLast="47" xr6:coauthVersionMax="47" xr10:uidLastSave="{DEB21567-5382-4607-B418-7F528A497EC0}"/>
  <bookViews>
    <workbookView xWindow="16440" yWindow="-16416" windowWidth="29016" windowHeight="15816" xr2:uid="{78D8866C-E5DD-45DE-8C47-DECD7C7344CD}"/>
  </bookViews>
  <sheets>
    <sheet name="Cover" sheetId="11" r:id="rId1"/>
    <sheet name="User Dashboard" sheetId="3" r:id="rId2"/>
    <sheet name="Output" sheetId="8" r:id="rId3"/>
    <sheet name="Commodity" sheetId="6" r:id="rId4"/>
    <sheet name="T&amp;D" sheetId="2" r:id="rId5"/>
    <sheet name="Emissions" sheetId="5" r:id="rId6"/>
    <sheet name="Methane Leakage" sheetId="15" r:id="rId7"/>
    <sheet name="Other Inputs" sheetId="10" r:id="rId8"/>
    <sheet name="AGIC" sheetId="19" r:id="rId9"/>
    <sheet name="References" sheetId="14" r:id="rId10"/>
    <sheet name="Change Log" sheetId="16" r:id="rId11"/>
    <sheet name="IEPR Gas Prices Nominal" sheetId="13" r:id="rId12"/>
    <sheet name="IEPR Gas Prices Real" sheetId="17" r:id="rId13"/>
    <sheet name="Notes" sheetId="9" state="hidden" r:id="rId14"/>
    <sheet name="drop downs" sheetId="4" state="hidden" r:id="rId15"/>
  </sheets>
  <externalReferences>
    <externalReference r:id="rId16"/>
    <externalReference r:id="rId17"/>
  </externalReferences>
  <definedNames>
    <definedName name="__123Graph_A" hidden="1">[1]Sheet1!#REF!</definedName>
    <definedName name="__123Graph_ADA" hidden="1">[1]Sheet1!#REF!</definedName>
    <definedName name="__123Graph_ADEPREC2" hidden="1">[1]Sheet1!#REF!</definedName>
    <definedName name="__123Graph_ATREND" hidden="1">[1]Sheet1!#REF!</definedName>
    <definedName name="__123Graph_B" hidden="1">[1]Sheet1!#REF!</definedName>
    <definedName name="__123Graph_BTREND" hidden="1">[1]Sheet1!#REF!</definedName>
    <definedName name="__123Graph_C" hidden="1">[1]Sheet1!#REF!</definedName>
    <definedName name="__123Graph_CTREND" hidden="1">[1]Sheet1!#REF!</definedName>
    <definedName name="__123Graph_X" hidden="1">[1]Sheet1!#REF!</definedName>
    <definedName name="__123Graph_XTREND" hidden="1">[1]Sheet1!#REF!</definedName>
    <definedName name="__FDS_HYPERLINK_TOGGLE_STATE__" hidden="1">"ON"</definedName>
    <definedName name="_1__123Graph_A_FABP_L.WK1_FAB" hidden="1">[1]Sheet1!#REF!</definedName>
    <definedName name="_2__123Graph_ADEPREC" hidden="1">[1]Sheet1!#REF!</definedName>
    <definedName name="_3__123Graph_B_FABP_L.WK1_FAB" hidden="1">[1]Sheet1!#REF!</definedName>
    <definedName name="_4__123Graph_C_FABP_L.WK1_FAB" hidden="1">[1]Sheet1!#REF!</definedName>
    <definedName name="_5__123Graph_X_FABP_L.WK1_FAB" hidden="1">[1]Sheet1!#REF!</definedName>
    <definedName name="_Fill" hidden="1">#REF!</definedName>
    <definedName name="_xlnm._FilterDatabase" localSheetId="11" hidden="1">'IEPR Gas Prices Nominal'!$A$2:$AQ$90</definedName>
    <definedName name="_xlnm._FilterDatabase" localSheetId="12" hidden="1">'IEPR Gas Prices Real'!$A$2:$AR$90</definedName>
    <definedName name="_Key1" hidden="1">#REF!</definedName>
    <definedName name="_Key2" hidden="1">#REF!</definedName>
    <definedName name="_Order1" hidden="1">255</definedName>
    <definedName name="_Order2" hidden="1">255</definedName>
    <definedName name="_Sort" hidden="1">#REF!</definedName>
    <definedName name="_Table2_In1" hidden="1">#REF!</definedName>
    <definedName name="_Table2_In2" hidden="1">#REF!</definedName>
    <definedName name="_Table2_Out" hidden="1">#REF!</definedName>
    <definedName name="anscount" hidden="1">3</definedName>
    <definedName name="asd" hidden="1">[1]Sheet1!#REF!</definedName>
    <definedName name="asdf" hidden="1">[1]Sheet1!#REF!</definedName>
    <definedName name="BLPB1" hidden="1">'[2]One-Pager'!$A$5</definedName>
    <definedName name="BLPB2" hidden="1">'[2]One-Pager'!$B$5</definedName>
    <definedName name="BLPB3" hidden="1">'[2]One-Pager'!$A$6</definedName>
    <definedName name="BLPB4" hidden="1">'[2]One-Pager'!$A$2</definedName>
    <definedName name="BLPB5" hidden="1">'[2]One-Pager'!$Q$3</definedName>
    <definedName name="BLPB6" hidden="1">'[2]One-Pager'!$I$2</definedName>
    <definedName name="BLPB7" hidden="1">'[2]One-Pager'!$G$2</definedName>
    <definedName name="BLPB8" hidden="1">'[2]One-Pager'!$F$6</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2_1_aDrv" hidden="1">#REF!</definedName>
    <definedName name="FDP_163_1_aD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6_1aUdv1"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Urv" hidden="1">#REF!</definedName>
    <definedName name="FDP_26_1_aUrv" hidden="1">#REF!</definedName>
    <definedName name="FDP_27_1_aUrv" hidden="1">#REF!</definedName>
    <definedName name="FDP_28_1_aUrv" hidden="1">#REF!</definedName>
    <definedName name="FDP_29_1_aDrv" hidden="1">#REF!</definedName>
    <definedName name="FDP_3_1_aUrv" hidden="1">#REF!</definedName>
    <definedName name="FDP_30_1_aUrv" hidden="1">#REF!</definedName>
    <definedName name="FDP_31_1_aU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6_1_aUrv" hidden="1">#REF!</definedName>
    <definedName name="FDP_67_1_a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HTML_CodePage" hidden="1">1252</definedName>
    <definedName name="HTML_Control"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FAX" hidden="1">"c2100"</definedName>
    <definedName name="IQ_BOARD_MEMBER_OFFICE" hidden="1">"c2098"</definedName>
    <definedName name="IQ_BOARD_MEMBER_PHONE" hidden="1">"c2099"</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"IQ_REVENUE_EST"</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39146.6970023148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limcount" hidden="1">3</definedName>
    <definedName name="sencount" hidden="1">1</definedName>
    <definedName name="solargraph" hidden="1">[1]Sheet1!#REF!</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wrn.ALL." hidden="1">{#N/A,#N/A,FALSE,"ASSUMPTIONS";#N/A,#N/A,FALSE,"Valuation Summary";"page1",#N/A,FALSE,"PRESENTATION";"page2",#N/A,FALSE,"PRESENTATION";#N/A,#N/A,FALSE,"ORIGINAL_ROLLBACK"}</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hidden="1">{#N/A,#N/A,FALSE,"FY97";#N/A,#N/A,FALSE,"FY98";#N/A,#N/A,FALSE,"FY99";#N/A,#N/A,FALSE,"FY00";#N/A,#N/A,FALSE,"FY01"}</definedName>
    <definedName name="wrn.PRES_OUT." hidden="1">{"page1",#N/A,FALSE,"PRESENTATION";"page2",#N/A,FALSE,"PRESENTATION";#N/A,#N/A,FALSE,"Valuation Summary"}</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CURRENT._.PAGE." hidden="1">{"CURRENT",#N/A,FALSE,"REGISTER"}</definedName>
    <definedName name="wrn.PRINT_HISTORY." hidden="1">{"HISTORY",#N/A,FALSE,"REGISTER"}</definedName>
    <definedName name="wrn.printall." hidden="1">{"page1",#N/A,FALSE,"DCM";"page2",#N/A,FALSE,"DCM";"page3",#N/A,FALSE,"DCM";"page4",#N/A,FALSE,"DCM";"page5",#N/A,FALSE,"DCM";"page6",#N/A,FALSE,"DCM";"page7",#N/A,FALSE,"DCM";"page8",#N/A,FALSE,"DCM"}</definedName>
    <definedName name="wrn.sum1." hidden="1">{"Summary","1",FALSE,"Summary"}</definedName>
    <definedName name="wrn.Summary." hidden="1">{"page1",#N/A,FALSE,"DCM";"page3",#N/A,FALSE,"DCM"}</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papers." hidden="1">{#N/A,#N/A,FALSE,"Inputs And Assumptions";#N/A,#N/A,FALSE,"Revenue Allocation";#N/A,#N/A,FALSE,"RSP Surch Allocations";#N/A,#N/A,FALSE,"Generation Calculations";#N/A,#N/A,FALSE,"Test Year 2001 Sales and Revs."}</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 i="6" l="1"/>
  <c r="G26" i="6"/>
  <c r="F24" i="19"/>
  <c r="E24" i="19" a="1"/>
  <c r="E24" i="19" s="1"/>
  <c r="D24" i="19"/>
  <c r="C24" i="19" a="1"/>
  <c r="C24" i="19" s="1"/>
  <c r="C19" i="3"/>
  <c r="F7" i="5"/>
  <c r="F8" i="5"/>
  <c r="F9" i="5"/>
  <c r="F10" i="5"/>
  <c r="F11" i="5"/>
  <c r="F12" i="5"/>
  <c r="F6" i="5"/>
  <c r="D23" i="19"/>
  <c r="U3" i="17"/>
  <c r="U4" i="17"/>
  <c r="U5" i="17"/>
  <c r="U6" i="17"/>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6"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6" i="17"/>
  <c r="U127" i="17"/>
  <c r="U128" i="17"/>
  <c r="U129" i="17"/>
  <c r="U130" i="17"/>
  <c r="U131" i="17"/>
  <c r="U132" i="17"/>
  <c r="U133" i="17"/>
  <c r="U134" i="17"/>
  <c r="U135" i="17"/>
  <c r="U136" i="17"/>
  <c r="U137" i="17"/>
  <c r="U138" i="17"/>
  <c r="U139" i="17"/>
  <c r="U140" i="17"/>
  <c r="U141" i="17"/>
  <c r="U142" i="17"/>
  <c r="U143" i="17"/>
  <c r="U144" i="17"/>
  <c r="U145" i="17"/>
  <c r="U146" i="17"/>
  <c r="U147" i="17"/>
  <c r="U148" i="17"/>
  <c r="U149" i="17"/>
  <c r="U150" i="17"/>
  <c r="U151" i="17"/>
  <c r="U152" i="17"/>
  <c r="U153" i="17"/>
  <c r="U154" i="17"/>
  <c r="U155" i="17"/>
  <c r="U156" i="17"/>
  <c r="U157" i="17"/>
  <c r="U158" i="17"/>
  <c r="U159" i="17"/>
  <c r="U160" i="17"/>
  <c r="U161" i="17"/>
  <c r="U162" i="17"/>
  <c r="U163" i="17"/>
  <c r="U164" i="17"/>
  <c r="U165" i="17"/>
  <c r="U166" i="17"/>
  <c r="U167" i="17"/>
  <c r="U168" i="17"/>
  <c r="U169" i="17"/>
  <c r="U170" i="17"/>
  <c r="U171" i="17"/>
  <c r="U172" i="17"/>
  <c r="U173" i="17"/>
  <c r="U174" i="17"/>
  <c r="U175" i="17"/>
  <c r="U176" i="17"/>
  <c r="U177" i="17"/>
  <c r="U178" i="17"/>
  <c r="U179" i="17"/>
  <c r="U180" i="17"/>
  <c r="U181" i="17"/>
  <c r="U182" i="17"/>
  <c r="U183" i="17"/>
  <c r="U184" i="17"/>
  <c r="U185" i="17"/>
  <c r="U186" i="17"/>
  <c r="U187" i="17"/>
  <c r="U188" i="17"/>
  <c r="U189" i="17"/>
  <c r="U190" i="17"/>
  <c r="U191" i="17"/>
  <c r="U192" i="17"/>
  <c r="U193" i="17"/>
  <c r="U194" i="17"/>
  <c r="U195" i="17"/>
  <c r="U196" i="17"/>
  <c r="U197" i="17"/>
  <c r="U198" i="17"/>
  <c r="U199" i="17"/>
  <c r="U200" i="17"/>
  <c r="U201" i="17"/>
  <c r="U202" i="17"/>
  <c r="U203" i="17"/>
  <c r="U204" i="17"/>
  <c r="U205" i="17"/>
  <c r="U206" i="17"/>
  <c r="U207" i="17"/>
  <c r="U208" i="17"/>
  <c r="U209" i="17"/>
  <c r="U210" i="17"/>
  <c r="U211" i="17"/>
  <c r="U212" i="17"/>
  <c r="U213" i="17"/>
  <c r="U214" i="17"/>
  <c r="U215" i="17"/>
  <c r="U216" i="17"/>
  <c r="U217" i="17"/>
  <c r="U218" i="17"/>
  <c r="U219" i="17"/>
  <c r="U220" i="17"/>
  <c r="U221" i="17"/>
  <c r="U222" i="17"/>
  <c r="U223" i="17"/>
  <c r="U224" i="17"/>
  <c r="U225" i="17"/>
  <c r="U226" i="17"/>
  <c r="U227" i="17"/>
  <c r="U228" i="17"/>
  <c r="U229" i="17"/>
  <c r="U230" i="17"/>
  <c r="U231" i="17"/>
  <c r="U232" i="17"/>
  <c r="U233" i="17"/>
  <c r="U234" i="17"/>
  <c r="U235" i="17"/>
  <c r="U236" i="17"/>
  <c r="U237" i="17"/>
  <c r="U238" i="17"/>
  <c r="U239" i="17"/>
  <c r="U240" i="17"/>
  <c r="U241" i="17"/>
  <c r="U242" i="17"/>
  <c r="F7" i="10"/>
  <c r="F6" i="10"/>
  <c r="T3" i="17" l="1"/>
  <c r="T3" i="13" l="1"/>
  <c r="V3" i="13" l="1"/>
  <c r="AM11" i="8"/>
  <c r="AN11" i="8"/>
  <c r="AO11" i="8"/>
  <c r="AH32" i="3"/>
  <c r="AI32" i="3"/>
  <c r="AJ32" i="3"/>
  <c r="D31" i="3" a="1"/>
  <c r="D31" i="3" s="1"/>
  <c r="AG18" i="5"/>
  <c r="AH18" i="5"/>
  <c r="AI18" i="5"/>
  <c r="AG19" i="5"/>
  <c r="AH19" i="5"/>
  <c r="AI19" i="5"/>
  <c r="AG20" i="5"/>
  <c r="AH34" i="3" s="1"/>
  <c r="AH20" i="5"/>
  <c r="AI34" i="3" s="1"/>
  <c r="AI20" i="5"/>
  <c r="AJ33" i="3" s="1"/>
  <c r="AK5" i="2"/>
  <c r="AJ5" i="2"/>
  <c r="AI5" i="2"/>
  <c r="AI6" i="2"/>
  <c r="AJ6" i="2"/>
  <c r="AI7" i="2"/>
  <c r="AJ7" i="2"/>
  <c r="AI8" i="2"/>
  <c r="AJ8" i="2"/>
  <c r="AI9" i="2"/>
  <c r="AJ9" i="2"/>
  <c r="AI10" i="2"/>
  <c r="AJ10" i="2"/>
  <c r="AI11" i="2"/>
  <c r="AJ11" i="2"/>
  <c r="AI12" i="2"/>
  <c r="AJ12" i="2"/>
  <c r="AI13" i="2"/>
  <c r="AJ13" i="2"/>
  <c r="AJ35" i="3" l="1"/>
  <c r="AH33" i="3"/>
  <c r="AI35" i="3"/>
  <c r="AH35" i="3"/>
  <c r="AI33" i="3"/>
  <c r="AJ34" i="3"/>
  <c r="K6" i="3" l="1"/>
  <c r="C6" i="19" l="1"/>
  <c r="F43" i="19" s="1"/>
  <c r="C23" i="19"/>
  <c r="A25" i="19"/>
  <c r="A26" i="19"/>
  <c r="A27" i="19"/>
  <c r="A28" i="19"/>
  <c r="A29" i="19"/>
  <c r="A30" i="19"/>
  <c r="A31" i="19"/>
  <c r="A32" i="19"/>
  <c r="A33" i="19"/>
  <c r="E33" i="19" s="1" a="1"/>
  <c r="E33" i="19" s="1"/>
  <c r="A24" i="19"/>
  <c r="B25" i="19"/>
  <c r="B26" i="19"/>
  <c r="B27" i="19"/>
  <c r="B28" i="19"/>
  <c r="B29" i="19"/>
  <c r="B30" i="19"/>
  <c r="B31" i="19"/>
  <c r="B32" i="19"/>
  <c r="B33" i="19"/>
  <c r="F23" i="19"/>
  <c r="E23" i="19"/>
  <c r="F42" i="19" l="1"/>
  <c r="C26" i="19" s="1" a="1"/>
  <c r="C26" i="19" s="1"/>
  <c r="D32" i="19"/>
  <c r="E31" i="19" a="1"/>
  <c r="E31" i="19" s="1"/>
  <c r="C25" i="19" a="1"/>
  <c r="C25" i="19" s="1"/>
  <c r="C27" i="19" a="1"/>
  <c r="C27" i="19" s="1"/>
  <c r="C32" i="19" a="1"/>
  <c r="C32" i="19" s="1"/>
  <c r="C33" i="19" a="1"/>
  <c r="C33" i="19" s="1"/>
  <c r="C31" i="19" a="1"/>
  <c r="C31" i="19" s="1"/>
  <c r="C28" i="19" a="1"/>
  <c r="C28" i="19" s="1"/>
  <c r="C29" i="19" a="1"/>
  <c r="C29" i="19" s="1"/>
  <c r="F44" i="19"/>
  <c r="C30" i="19" a="1"/>
  <c r="C30" i="19" s="1"/>
  <c r="F45" i="19"/>
  <c r="D29" i="19"/>
  <c r="E30" i="19" a="1"/>
  <c r="E30" i="19" s="1"/>
  <c r="D28" i="19"/>
  <c r="E29" i="19" a="1"/>
  <c r="E29" i="19" s="1"/>
  <c r="D27" i="19"/>
  <c r="E28" i="19" a="1"/>
  <c r="E28" i="19" s="1"/>
  <c r="D26" i="19"/>
  <c r="E27" i="19" a="1"/>
  <c r="E27" i="19" s="1"/>
  <c r="D33" i="19"/>
  <c r="D25" i="19"/>
  <c r="E26" i="19" a="1"/>
  <c r="E26" i="19" s="1"/>
  <c r="E25" i="19" a="1"/>
  <c r="E25" i="19" s="1"/>
  <c r="D31" i="19"/>
  <c r="E32" i="19" a="1"/>
  <c r="E32" i="19" s="1"/>
  <c r="D30" i="19"/>
  <c r="F27" i="19"/>
  <c r="F28" i="19" l="1"/>
  <c r="F26" i="19"/>
  <c r="F29" i="19"/>
  <c r="F33" i="19"/>
  <c r="F31" i="19"/>
  <c r="F32" i="19"/>
  <c r="F30" i="19"/>
  <c r="F25" i="19"/>
  <c r="B24" i="19" l="1"/>
  <c r="D20" i="5" l="1"/>
  <c r="E20" i="5"/>
  <c r="F20" i="5"/>
  <c r="AF20" i="5"/>
  <c r="F5" i="10" l="1"/>
  <c r="T242" i="17"/>
  <c r="F242" i="17"/>
  <c r="E242" i="17"/>
  <c r="T241" i="17"/>
  <c r="F241" i="17"/>
  <c r="E241" i="17"/>
  <c r="T240" i="17"/>
  <c r="F240" i="17"/>
  <c r="E240" i="17"/>
  <c r="T239" i="17"/>
  <c r="F239" i="17"/>
  <c r="E239" i="17"/>
  <c r="T238" i="17"/>
  <c r="F238" i="17"/>
  <c r="E238" i="17"/>
  <c r="T237" i="17"/>
  <c r="F237" i="17"/>
  <c r="E237" i="17"/>
  <c r="T236" i="17"/>
  <c r="F236" i="17"/>
  <c r="E236" i="17"/>
  <c r="T235" i="17"/>
  <c r="F235" i="17"/>
  <c r="E235" i="17"/>
  <c r="T234" i="17"/>
  <c r="F234" i="17"/>
  <c r="E234" i="17"/>
  <c r="T233" i="17"/>
  <c r="F233" i="17"/>
  <c r="E233" i="17"/>
  <c r="T232" i="17"/>
  <c r="F232" i="17"/>
  <c r="E232" i="17"/>
  <c r="T231" i="17"/>
  <c r="F231" i="17"/>
  <c r="E231" i="17"/>
  <c r="T230" i="17"/>
  <c r="F230" i="17"/>
  <c r="E230" i="17"/>
  <c r="T229" i="17"/>
  <c r="F229" i="17"/>
  <c r="E229" i="17"/>
  <c r="T228" i="17"/>
  <c r="F228" i="17"/>
  <c r="E228" i="17"/>
  <c r="T227" i="17"/>
  <c r="F227" i="17"/>
  <c r="E227" i="17"/>
  <c r="T226" i="17"/>
  <c r="F226" i="17"/>
  <c r="E226" i="17"/>
  <c r="T225" i="17"/>
  <c r="F225" i="17"/>
  <c r="E225" i="17"/>
  <c r="T224" i="17"/>
  <c r="F224" i="17"/>
  <c r="E224" i="17"/>
  <c r="T223" i="17"/>
  <c r="F223" i="17"/>
  <c r="E223" i="17"/>
  <c r="T222" i="17"/>
  <c r="F222" i="17"/>
  <c r="E222" i="17"/>
  <c r="T221" i="17"/>
  <c r="F221" i="17"/>
  <c r="E221" i="17"/>
  <c r="T220" i="17"/>
  <c r="F220" i="17"/>
  <c r="E220" i="17"/>
  <c r="T219" i="17"/>
  <c r="F219" i="17"/>
  <c r="E219" i="17"/>
  <c r="T218" i="17"/>
  <c r="F218" i="17"/>
  <c r="E218" i="17"/>
  <c r="T217" i="17"/>
  <c r="F217" i="17"/>
  <c r="E217" i="17"/>
  <c r="T216" i="17"/>
  <c r="F216" i="17"/>
  <c r="E216" i="17"/>
  <c r="T215" i="17"/>
  <c r="F215" i="17"/>
  <c r="E215" i="17"/>
  <c r="T214" i="17"/>
  <c r="F214" i="17"/>
  <c r="E214" i="17"/>
  <c r="T213" i="17"/>
  <c r="F213" i="17"/>
  <c r="E213" i="17"/>
  <c r="T212" i="17"/>
  <c r="F212" i="17"/>
  <c r="E212" i="17"/>
  <c r="T211" i="17"/>
  <c r="F211" i="17"/>
  <c r="E211" i="17"/>
  <c r="T210" i="17"/>
  <c r="F210" i="17"/>
  <c r="E210" i="17"/>
  <c r="T209" i="17"/>
  <c r="F209" i="17"/>
  <c r="E209" i="17"/>
  <c r="T208" i="17"/>
  <c r="F208" i="17"/>
  <c r="E208" i="17"/>
  <c r="T207" i="17"/>
  <c r="F207" i="17"/>
  <c r="E207" i="17"/>
  <c r="T206" i="17"/>
  <c r="F206" i="17"/>
  <c r="E206" i="17"/>
  <c r="T205" i="17"/>
  <c r="F205" i="17"/>
  <c r="E205" i="17"/>
  <c r="T204" i="17"/>
  <c r="F204" i="17"/>
  <c r="E204" i="17"/>
  <c r="T203" i="17"/>
  <c r="F203" i="17"/>
  <c r="E203" i="17"/>
  <c r="T202" i="17"/>
  <c r="F202" i="17"/>
  <c r="E202" i="17"/>
  <c r="T201" i="17"/>
  <c r="F201" i="17"/>
  <c r="E201" i="17"/>
  <c r="T200" i="17"/>
  <c r="F200" i="17"/>
  <c r="E200" i="17"/>
  <c r="T199" i="17"/>
  <c r="F199" i="17"/>
  <c r="E199" i="17"/>
  <c r="T198" i="17"/>
  <c r="F198" i="17"/>
  <c r="E198" i="17"/>
  <c r="T197" i="17"/>
  <c r="F197" i="17"/>
  <c r="E197" i="17"/>
  <c r="T196" i="17"/>
  <c r="F196" i="17"/>
  <c r="E196" i="17"/>
  <c r="T195" i="17"/>
  <c r="F195" i="17"/>
  <c r="E195" i="17"/>
  <c r="T194" i="17"/>
  <c r="F194" i="17"/>
  <c r="E194" i="17"/>
  <c r="T193" i="17"/>
  <c r="F193" i="17"/>
  <c r="E193" i="17"/>
  <c r="T192" i="17"/>
  <c r="F192" i="17"/>
  <c r="E192" i="17"/>
  <c r="T191" i="17"/>
  <c r="F191" i="17"/>
  <c r="E191" i="17"/>
  <c r="T190" i="17"/>
  <c r="F190" i="17"/>
  <c r="E190" i="17"/>
  <c r="T189" i="17"/>
  <c r="F189" i="17"/>
  <c r="E189" i="17"/>
  <c r="T188" i="17"/>
  <c r="F188" i="17"/>
  <c r="E188" i="17"/>
  <c r="T187" i="17"/>
  <c r="F187" i="17"/>
  <c r="E187" i="17"/>
  <c r="T186" i="17"/>
  <c r="F186" i="17"/>
  <c r="E186" i="17"/>
  <c r="T185" i="17"/>
  <c r="F185" i="17"/>
  <c r="E185" i="17"/>
  <c r="T184" i="17"/>
  <c r="F184" i="17"/>
  <c r="E184" i="17"/>
  <c r="T183" i="17"/>
  <c r="F183" i="17"/>
  <c r="E183" i="17"/>
  <c r="T182" i="17"/>
  <c r="F182" i="17"/>
  <c r="E182" i="17"/>
  <c r="T181" i="17"/>
  <c r="F181" i="17"/>
  <c r="E181" i="17"/>
  <c r="T180" i="17"/>
  <c r="F180" i="17"/>
  <c r="E180" i="17"/>
  <c r="T179" i="17"/>
  <c r="F179" i="17"/>
  <c r="E179" i="17"/>
  <c r="T178" i="17"/>
  <c r="F178" i="17"/>
  <c r="E178" i="17"/>
  <c r="T177" i="17"/>
  <c r="F177" i="17"/>
  <c r="E177" i="17"/>
  <c r="T176" i="17"/>
  <c r="F176" i="17"/>
  <c r="E176" i="17"/>
  <c r="T175" i="17"/>
  <c r="F175" i="17"/>
  <c r="E175" i="17"/>
  <c r="T174" i="17"/>
  <c r="F174" i="17"/>
  <c r="E174" i="17"/>
  <c r="T173" i="17"/>
  <c r="F173" i="17"/>
  <c r="E173" i="17"/>
  <c r="T172" i="17"/>
  <c r="F172" i="17"/>
  <c r="E172" i="17"/>
  <c r="T171" i="17"/>
  <c r="F171" i="17"/>
  <c r="E171" i="17"/>
  <c r="T170" i="17"/>
  <c r="F170" i="17"/>
  <c r="E170" i="17"/>
  <c r="T169" i="17"/>
  <c r="F169" i="17"/>
  <c r="E169" i="17"/>
  <c r="T168" i="17"/>
  <c r="F168" i="17"/>
  <c r="E168" i="17"/>
  <c r="T167" i="17"/>
  <c r="F167" i="17"/>
  <c r="E167" i="17"/>
  <c r="T166" i="17"/>
  <c r="F166" i="17"/>
  <c r="E166" i="17"/>
  <c r="T165" i="17"/>
  <c r="F165" i="17"/>
  <c r="E165" i="17"/>
  <c r="T164" i="17"/>
  <c r="F164" i="17"/>
  <c r="E164" i="17"/>
  <c r="T163" i="17"/>
  <c r="F163" i="17"/>
  <c r="E163" i="17"/>
  <c r="T162" i="17"/>
  <c r="F162" i="17"/>
  <c r="E162" i="17"/>
  <c r="T161" i="17"/>
  <c r="F161" i="17"/>
  <c r="E161" i="17"/>
  <c r="T160" i="17"/>
  <c r="F160" i="17"/>
  <c r="E160" i="17"/>
  <c r="T159" i="17"/>
  <c r="F159" i="17"/>
  <c r="E159" i="17"/>
  <c r="T158" i="17"/>
  <c r="F158" i="17"/>
  <c r="E158" i="17"/>
  <c r="T157" i="17"/>
  <c r="F157" i="17"/>
  <c r="E157" i="17"/>
  <c r="T156" i="17"/>
  <c r="F156" i="17"/>
  <c r="E156" i="17"/>
  <c r="T155" i="17"/>
  <c r="F155" i="17"/>
  <c r="E155" i="17"/>
  <c r="T154" i="17"/>
  <c r="F154" i="17"/>
  <c r="E154" i="17"/>
  <c r="T153" i="17"/>
  <c r="F153" i="17"/>
  <c r="E153" i="17"/>
  <c r="T152" i="17"/>
  <c r="F152" i="17"/>
  <c r="E152" i="17"/>
  <c r="T151" i="17"/>
  <c r="F151" i="17"/>
  <c r="E151" i="17"/>
  <c r="T150" i="17"/>
  <c r="F150" i="17"/>
  <c r="E150" i="17"/>
  <c r="T149" i="17"/>
  <c r="F149" i="17"/>
  <c r="E149" i="17"/>
  <c r="T148" i="17"/>
  <c r="F148" i="17"/>
  <c r="E148" i="17"/>
  <c r="T147" i="17"/>
  <c r="F147" i="17"/>
  <c r="E147" i="17"/>
  <c r="T146" i="17"/>
  <c r="F146" i="17"/>
  <c r="E146" i="17"/>
  <c r="T145" i="17"/>
  <c r="F145" i="17"/>
  <c r="E145" i="17"/>
  <c r="T144" i="17"/>
  <c r="F144" i="17"/>
  <c r="E144" i="17"/>
  <c r="T143" i="17"/>
  <c r="F143" i="17"/>
  <c r="E143" i="17"/>
  <c r="T142" i="17"/>
  <c r="F142" i="17"/>
  <c r="E142" i="17"/>
  <c r="T141" i="17"/>
  <c r="F141" i="17"/>
  <c r="E141" i="17"/>
  <c r="T140" i="17"/>
  <c r="F140" i="17"/>
  <c r="E140" i="17"/>
  <c r="T139" i="17"/>
  <c r="F139" i="17"/>
  <c r="E139" i="17"/>
  <c r="T138" i="17"/>
  <c r="F138" i="17"/>
  <c r="E138" i="17"/>
  <c r="T137" i="17"/>
  <c r="F137" i="17"/>
  <c r="E137" i="17"/>
  <c r="T136" i="17"/>
  <c r="F136" i="17"/>
  <c r="E136" i="17"/>
  <c r="T135" i="17"/>
  <c r="F135" i="17"/>
  <c r="E135" i="17"/>
  <c r="T134" i="17"/>
  <c r="F134" i="17"/>
  <c r="E134" i="17"/>
  <c r="T133" i="17"/>
  <c r="F133" i="17"/>
  <c r="E133" i="17"/>
  <c r="T132" i="17"/>
  <c r="F132" i="17"/>
  <c r="E132" i="17"/>
  <c r="T131" i="17"/>
  <c r="F131" i="17"/>
  <c r="E131" i="17"/>
  <c r="T130" i="17"/>
  <c r="F130" i="17"/>
  <c r="E130" i="17"/>
  <c r="T129" i="17"/>
  <c r="F129" i="17"/>
  <c r="E129" i="17"/>
  <c r="T128" i="17"/>
  <c r="F128" i="17"/>
  <c r="E128" i="17"/>
  <c r="T127" i="17"/>
  <c r="F127" i="17"/>
  <c r="E127" i="17"/>
  <c r="T126" i="17"/>
  <c r="F126" i="17"/>
  <c r="E126" i="17"/>
  <c r="T125" i="17"/>
  <c r="F125" i="17"/>
  <c r="E125" i="17"/>
  <c r="T124" i="17"/>
  <c r="F124" i="17"/>
  <c r="E124" i="17"/>
  <c r="T123" i="17"/>
  <c r="F123" i="17"/>
  <c r="E123" i="17"/>
  <c r="T122" i="17"/>
  <c r="F122" i="17"/>
  <c r="E122" i="17"/>
  <c r="T121" i="17"/>
  <c r="F121" i="17"/>
  <c r="E121" i="17"/>
  <c r="T120" i="17"/>
  <c r="F120" i="17"/>
  <c r="E120" i="17"/>
  <c r="T119" i="17"/>
  <c r="F119" i="17"/>
  <c r="E119" i="17"/>
  <c r="T118" i="17"/>
  <c r="F118" i="17"/>
  <c r="E118" i="17"/>
  <c r="T117" i="17"/>
  <c r="F117" i="17"/>
  <c r="E117" i="17"/>
  <c r="T116" i="17"/>
  <c r="F116" i="17"/>
  <c r="E116" i="17"/>
  <c r="T115" i="17"/>
  <c r="F115" i="17"/>
  <c r="E115" i="17"/>
  <c r="T114" i="17"/>
  <c r="F114" i="17"/>
  <c r="E114" i="17"/>
  <c r="T113" i="17"/>
  <c r="F113" i="17"/>
  <c r="E113" i="17"/>
  <c r="T112" i="17"/>
  <c r="F112" i="17"/>
  <c r="E112" i="17"/>
  <c r="T111" i="17"/>
  <c r="F111" i="17"/>
  <c r="E111" i="17"/>
  <c r="T110" i="17"/>
  <c r="F110" i="17"/>
  <c r="E110" i="17"/>
  <c r="T109" i="17"/>
  <c r="F109" i="17"/>
  <c r="E109" i="17"/>
  <c r="T108" i="17"/>
  <c r="F108" i="17"/>
  <c r="E108" i="17"/>
  <c r="T107" i="17"/>
  <c r="F107" i="17"/>
  <c r="E107" i="17"/>
  <c r="T106" i="17"/>
  <c r="F106" i="17"/>
  <c r="E106" i="17"/>
  <c r="T105" i="17"/>
  <c r="F105" i="17"/>
  <c r="E105" i="17"/>
  <c r="T104" i="17"/>
  <c r="F104" i="17"/>
  <c r="E104" i="17"/>
  <c r="T103" i="17"/>
  <c r="F103" i="17"/>
  <c r="E103" i="17"/>
  <c r="T102" i="17"/>
  <c r="F102" i="17"/>
  <c r="E102" i="17"/>
  <c r="T101" i="17"/>
  <c r="F101" i="17"/>
  <c r="E101" i="17"/>
  <c r="T100" i="17"/>
  <c r="F100" i="17"/>
  <c r="E100" i="17"/>
  <c r="T99" i="17"/>
  <c r="F99" i="17"/>
  <c r="E99" i="17"/>
  <c r="T98" i="17"/>
  <c r="F98" i="17"/>
  <c r="E98" i="17"/>
  <c r="T97" i="17"/>
  <c r="F97" i="17"/>
  <c r="E97" i="17"/>
  <c r="T96" i="17"/>
  <c r="F96" i="17"/>
  <c r="E96" i="17"/>
  <c r="T95" i="17"/>
  <c r="F95" i="17"/>
  <c r="E95" i="17"/>
  <c r="T94" i="17"/>
  <c r="F94" i="17"/>
  <c r="E94" i="17"/>
  <c r="T93" i="17"/>
  <c r="F93" i="17"/>
  <c r="E93" i="17"/>
  <c r="T92" i="17"/>
  <c r="F92" i="17"/>
  <c r="E92" i="17"/>
  <c r="T91" i="17"/>
  <c r="F91" i="17"/>
  <c r="E91" i="17"/>
  <c r="T90" i="17"/>
  <c r="F90" i="17"/>
  <c r="E90" i="17"/>
  <c r="T89" i="17"/>
  <c r="F89" i="17"/>
  <c r="E89" i="17"/>
  <c r="T88" i="17"/>
  <c r="F88" i="17"/>
  <c r="E88" i="17"/>
  <c r="T87" i="17"/>
  <c r="F87" i="17"/>
  <c r="E87" i="17"/>
  <c r="T86" i="17"/>
  <c r="F86" i="17"/>
  <c r="E86" i="17"/>
  <c r="T85" i="17"/>
  <c r="F85" i="17"/>
  <c r="E85" i="17"/>
  <c r="T84" i="17"/>
  <c r="F84" i="17"/>
  <c r="E84" i="17"/>
  <c r="T83" i="17"/>
  <c r="F83" i="17"/>
  <c r="E83" i="17"/>
  <c r="T82" i="17"/>
  <c r="F82" i="17"/>
  <c r="E82" i="17"/>
  <c r="T81" i="17"/>
  <c r="F81" i="17"/>
  <c r="E81" i="17"/>
  <c r="T80" i="17"/>
  <c r="F80" i="17"/>
  <c r="E80" i="17"/>
  <c r="T79" i="17"/>
  <c r="F79" i="17"/>
  <c r="E79" i="17"/>
  <c r="T78" i="17"/>
  <c r="F78" i="17"/>
  <c r="E78" i="17"/>
  <c r="T77" i="17"/>
  <c r="F77" i="17"/>
  <c r="E77" i="17"/>
  <c r="T76" i="17"/>
  <c r="F76" i="17"/>
  <c r="E76" i="17"/>
  <c r="T75" i="17"/>
  <c r="F75" i="17"/>
  <c r="E75" i="17"/>
  <c r="T74" i="17"/>
  <c r="F74" i="17"/>
  <c r="E74" i="17"/>
  <c r="T73" i="17"/>
  <c r="F73" i="17"/>
  <c r="E73" i="17"/>
  <c r="T72" i="17"/>
  <c r="F72" i="17"/>
  <c r="E72" i="17"/>
  <c r="T71" i="17"/>
  <c r="F71" i="17"/>
  <c r="E71" i="17"/>
  <c r="T70" i="17"/>
  <c r="F70" i="17"/>
  <c r="E70" i="17"/>
  <c r="T69" i="17"/>
  <c r="F69" i="17"/>
  <c r="E69" i="17"/>
  <c r="T68" i="17"/>
  <c r="F68" i="17"/>
  <c r="E68" i="17"/>
  <c r="T67" i="17"/>
  <c r="F67" i="17"/>
  <c r="E67" i="17"/>
  <c r="T66" i="17"/>
  <c r="F66" i="17"/>
  <c r="E66" i="17"/>
  <c r="T65" i="17"/>
  <c r="F65" i="17"/>
  <c r="E65" i="17"/>
  <c r="T64" i="17"/>
  <c r="F64" i="17"/>
  <c r="E64" i="17"/>
  <c r="T63" i="17"/>
  <c r="F63" i="17"/>
  <c r="E63" i="17"/>
  <c r="T62" i="17"/>
  <c r="F62" i="17"/>
  <c r="E62" i="17"/>
  <c r="T61" i="17"/>
  <c r="F61" i="17"/>
  <c r="E61" i="17"/>
  <c r="T60" i="17"/>
  <c r="F60" i="17"/>
  <c r="E60" i="17"/>
  <c r="T59" i="17"/>
  <c r="F59" i="17"/>
  <c r="E59" i="17"/>
  <c r="T58" i="17"/>
  <c r="F58" i="17"/>
  <c r="E58" i="17"/>
  <c r="T57" i="17"/>
  <c r="F57" i="17"/>
  <c r="E57" i="17"/>
  <c r="T56" i="17"/>
  <c r="F56" i="17"/>
  <c r="E56" i="17"/>
  <c r="T55" i="17"/>
  <c r="F55" i="17"/>
  <c r="E55" i="17"/>
  <c r="T54" i="17"/>
  <c r="F54" i="17"/>
  <c r="E54" i="17"/>
  <c r="T53" i="17"/>
  <c r="F53" i="17"/>
  <c r="E53" i="17"/>
  <c r="T52" i="17"/>
  <c r="F52" i="17"/>
  <c r="E52" i="17"/>
  <c r="T51" i="17"/>
  <c r="F51" i="17"/>
  <c r="E51" i="17"/>
  <c r="T50" i="17"/>
  <c r="F50" i="17"/>
  <c r="E50" i="17"/>
  <c r="T49" i="17"/>
  <c r="F49" i="17"/>
  <c r="E49" i="17"/>
  <c r="T48" i="17"/>
  <c r="F48" i="17"/>
  <c r="E48" i="17"/>
  <c r="T47" i="17"/>
  <c r="F47" i="17"/>
  <c r="E47" i="17"/>
  <c r="T46" i="17"/>
  <c r="F46" i="17"/>
  <c r="E46" i="17"/>
  <c r="T45" i="17"/>
  <c r="F45" i="17"/>
  <c r="E45" i="17"/>
  <c r="T44" i="17"/>
  <c r="F44" i="17"/>
  <c r="E44" i="17"/>
  <c r="T43" i="17"/>
  <c r="F43" i="17"/>
  <c r="E43" i="17"/>
  <c r="T42" i="17"/>
  <c r="F42" i="17"/>
  <c r="E42" i="17"/>
  <c r="T41" i="17"/>
  <c r="F41" i="17"/>
  <c r="E41" i="17"/>
  <c r="T40" i="17"/>
  <c r="F40" i="17"/>
  <c r="E40" i="17"/>
  <c r="T39" i="17"/>
  <c r="F39" i="17"/>
  <c r="E39" i="17"/>
  <c r="T38" i="17"/>
  <c r="F38" i="17"/>
  <c r="E38" i="17"/>
  <c r="T37" i="17"/>
  <c r="F37" i="17"/>
  <c r="E37" i="17"/>
  <c r="T36" i="17"/>
  <c r="F36" i="17"/>
  <c r="E36" i="17"/>
  <c r="T35" i="17"/>
  <c r="F35" i="17"/>
  <c r="E35" i="17"/>
  <c r="T34" i="17"/>
  <c r="F34" i="17"/>
  <c r="E34" i="17"/>
  <c r="T33" i="17"/>
  <c r="F33" i="17"/>
  <c r="E33" i="17"/>
  <c r="T32" i="17"/>
  <c r="F32" i="17"/>
  <c r="E32" i="17"/>
  <c r="T31" i="17"/>
  <c r="F31" i="17"/>
  <c r="E31" i="17"/>
  <c r="T30" i="17"/>
  <c r="F30" i="17"/>
  <c r="E30" i="17"/>
  <c r="T29" i="17"/>
  <c r="F29" i="17"/>
  <c r="E29" i="17"/>
  <c r="T28" i="17"/>
  <c r="F28" i="17"/>
  <c r="E28" i="17"/>
  <c r="T27" i="17"/>
  <c r="F27" i="17"/>
  <c r="E27" i="17"/>
  <c r="T26" i="17"/>
  <c r="F26" i="17"/>
  <c r="E26" i="17"/>
  <c r="T25" i="17"/>
  <c r="F25" i="17"/>
  <c r="E25" i="17"/>
  <c r="T24" i="17"/>
  <c r="F24" i="17"/>
  <c r="E24" i="17"/>
  <c r="T23" i="17"/>
  <c r="F23" i="17"/>
  <c r="E23" i="17"/>
  <c r="T22" i="17"/>
  <c r="F22" i="17"/>
  <c r="E22" i="17"/>
  <c r="T21" i="17"/>
  <c r="F21" i="17"/>
  <c r="E21" i="17"/>
  <c r="T20" i="17"/>
  <c r="F20" i="17"/>
  <c r="E20" i="17"/>
  <c r="T19" i="17"/>
  <c r="F19" i="17"/>
  <c r="E19" i="17"/>
  <c r="T18" i="17"/>
  <c r="F18" i="17"/>
  <c r="E18" i="17"/>
  <c r="T17" i="17"/>
  <c r="F17" i="17"/>
  <c r="E17" i="17"/>
  <c r="T16" i="17"/>
  <c r="F16" i="17"/>
  <c r="E16" i="17"/>
  <c r="T15" i="17"/>
  <c r="F15" i="17"/>
  <c r="E15" i="17"/>
  <c r="T14" i="17"/>
  <c r="F14" i="17"/>
  <c r="E14" i="17"/>
  <c r="T13" i="17"/>
  <c r="F13" i="17"/>
  <c r="E13" i="17"/>
  <c r="T12" i="17"/>
  <c r="F12" i="17"/>
  <c r="E12" i="17"/>
  <c r="T11" i="17"/>
  <c r="F11" i="17"/>
  <c r="E11" i="17"/>
  <c r="T10" i="17"/>
  <c r="F10" i="17"/>
  <c r="E10" i="17"/>
  <c r="T9" i="17"/>
  <c r="F9" i="17"/>
  <c r="E9" i="17"/>
  <c r="T8" i="17"/>
  <c r="F8" i="17"/>
  <c r="E8" i="17"/>
  <c r="T7" i="17"/>
  <c r="F7" i="17"/>
  <c r="E7" i="17"/>
  <c r="T6" i="17"/>
  <c r="F6" i="17"/>
  <c r="E6" i="17"/>
  <c r="T5" i="17"/>
  <c r="F5" i="17"/>
  <c r="E5" i="17"/>
  <c r="T4" i="17"/>
  <c r="F4" i="17"/>
  <c r="E4" i="17"/>
  <c r="F3" i="17"/>
  <c r="E3" i="17"/>
  <c r="AD1" i="17" l="1"/>
  <c r="AL1" i="17"/>
  <c r="AI1" i="17"/>
  <c r="W1" i="17"/>
  <c r="AB1" i="17"/>
  <c r="AJ1" i="17"/>
  <c r="AC1" i="17"/>
  <c r="AK1" i="17"/>
  <c r="AK23" i="17" s="1"/>
  <c r="AE1" i="17"/>
  <c r="AM1" i="17"/>
  <c r="AM23" i="17" s="1"/>
  <c r="X1" i="17"/>
  <c r="AF1" i="17"/>
  <c r="AN1" i="17"/>
  <c r="Y1" i="17"/>
  <c r="Y3" i="17" s="1"/>
  <c r="AG1" i="17"/>
  <c r="AO1" i="17"/>
  <c r="AO26" i="17" s="1"/>
  <c r="Z1" i="17"/>
  <c r="AH1" i="17"/>
  <c r="AH23" i="17" s="1"/>
  <c r="AP1" i="17"/>
  <c r="AA1" i="17"/>
  <c r="AA28" i="17" s="1"/>
  <c r="W19" i="17"/>
  <c r="W21" i="17"/>
  <c r="W23" i="17"/>
  <c r="W25" i="17"/>
  <c r="W27" i="17"/>
  <c r="W29" i="17"/>
  <c r="W20" i="17"/>
  <c r="W24" i="17"/>
  <c r="W28" i="17"/>
  <c r="W22" i="17"/>
  <c r="W26" i="17"/>
  <c r="W18" i="17"/>
  <c r="X8" i="17"/>
  <c r="X20" i="17"/>
  <c r="X26" i="17"/>
  <c r="X28" i="17"/>
  <c r="X19" i="17"/>
  <c r="X21" i="17"/>
  <c r="X23" i="17"/>
  <c r="X25" i="17"/>
  <c r="X27" i="17"/>
  <c r="X29" i="17"/>
  <c r="X18" i="17"/>
  <c r="X22" i="17"/>
  <c r="X24" i="17"/>
  <c r="Y9" i="17"/>
  <c r="Y20" i="17"/>
  <c r="Y22" i="17"/>
  <c r="Y24" i="17"/>
  <c r="Y26" i="17"/>
  <c r="Y28" i="17"/>
  <c r="Y19" i="17"/>
  <c r="Y21" i="17"/>
  <c r="Y23" i="17"/>
  <c r="Y25" i="17"/>
  <c r="Y27" i="17"/>
  <c r="Y29" i="17"/>
  <c r="Y18" i="17"/>
  <c r="Z10" i="17"/>
  <c r="Z21" i="17"/>
  <c r="Z23" i="17"/>
  <c r="Z25" i="17"/>
  <c r="Z27" i="17"/>
  <c r="Z29" i="17"/>
  <c r="Z18" i="17"/>
  <c r="Z20" i="17"/>
  <c r="Z22" i="17"/>
  <c r="Z24" i="17"/>
  <c r="Z26" i="17"/>
  <c r="Z19" i="17"/>
  <c r="Z28" i="17"/>
  <c r="AA22" i="17"/>
  <c r="AA24" i="17"/>
  <c r="AA26" i="17"/>
  <c r="AA25" i="17"/>
  <c r="AA29" i="17"/>
  <c r="AA19" i="17"/>
  <c r="AA18" i="17"/>
  <c r="AB12" i="17"/>
  <c r="AB18" i="17"/>
  <c r="AB23" i="17"/>
  <c r="AB20" i="17"/>
  <c r="AB22" i="17"/>
  <c r="AB24" i="17"/>
  <c r="AB26" i="17"/>
  <c r="AB28" i="17"/>
  <c r="AB21" i="17"/>
  <c r="AB25" i="17"/>
  <c r="AB27" i="17"/>
  <c r="AB29" i="17"/>
  <c r="AB19" i="17"/>
  <c r="AC18" i="17"/>
  <c r="AC21" i="17"/>
  <c r="AC23" i="17"/>
  <c r="AC25" i="17"/>
  <c r="AC27" i="17"/>
  <c r="AC29" i="17"/>
  <c r="AC20" i="17"/>
  <c r="AC22" i="17"/>
  <c r="AC24" i="17"/>
  <c r="AC26" i="17"/>
  <c r="AC28" i="17"/>
  <c r="AC19" i="17"/>
  <c r="AD14" i="17"/>
  <c r="AD22" i="17"/>
  <c r="AD24" i="17"/>
  <c r="AD20" i="17"/>
  <c r="AD26" i="17"/>
  <c r="AD21" i="17"/>
  <c r="AD23" i="17"/>
  <c r="AD25" i="17"/>
  <c r="AD18" i="17"/>
  <c r="AD28" i="17"/>
  <c r="AD19" i="17"/>
  <c r="AD27" i="17"/>
  <c r="AD29" i="17"/>
  <c r="AE7" i="17"/>
  <c r="AE19" i="17"/>
  <c r="AE21" i="17"/>
  <c r="AE23" i="17"/>
  <c r="AE25" i="17"/>
  <c r="AE27" i="17"/>
  <c r="AE29" i="17"/>
  <c r="AE20" i="17"/>
  <c r="AE18" i="17"/>
  <c r="AE22" i="17"/>
  <c r="AE24" i="17"/>
  <c r="AE26" i="17"/>
  <c r="AE28" i="17"/>
  <c r="AF8" i="17"/>
  <c r="AF19" i="17"/>
  <c r="AF21" i="17"/>
  <c r="AF23" i="17"/>
  <c r="AF25" i="17"/>
  <c r="AF27" i="17"/>
  <c r="AF29" i="17"/>
  <c r="AF18" i="17"/>
  <c r="AF20" i="17"/>
  <c r="AF22" i="17"/>
  <c r="AF24" i="17"/>
  <c r="AF26" i="17"/>
  <c r="AF28" i="17"/>
  <c r="AG9" i="17"/>
  <c r="AG18" i="17"/>
  <c r="AG20" i="17"/>
  <c r="AG22" i="17"/>
  <c r="AG24" i="17"/>
  <c r="AG26" i="17"/>
  <c r="AG28" i="17"/>
  <c r="AG19" i="17"/>
  <c r="AG21" i="17"/>
  <c r="AG23" i="17"/>
  <c r="AG25" i="17"/>
  <c r="AG27" i="17"/>
  <c r="AG29" i="17"/>
  <c r="AI11" i="17"/>
  <c r="AI20" i="17"/>
  <c r="AI22" i="17"/>
  <c r="AI24" i="17"/>
  <c r="AI26" i="17"/>
  <c r="AI28" i="17"/>
  <c r="AI25" i="17"/>
  <c r="AI29" i="17"/>
  <c r="AI27" i="17"/>
  <c r="AI19" i="17"/>
  <c r="AI21" i="17"/>
  <c r="AI23" i="17"/>
  <c r="AI18" i="17"/>
  <c r="AJ12" i="17"/>
  <c r="AJ18" i="17"/>
  <c r="AJ29" i="17"/>
  <c r="AJ20" i="17"/>
  <c r="AJ22" i="17"/>
  <c r="AJ24" i="17"/>
  <c r="AJ26" i="17"/>
  <c r="AJ28" i="17"/>
  <c r="AJ27" i="17"/>
  <c r="AJ19" i="17"/>
  <c r="AJ21" i="17"/>
  <c r="AJ23" i="17"/>
  <c r="AJ25" i="17"/>
  <c r="AL14" i="17"/>
  <c r="AL20" i="17"/>
  <c r="AL22" i="17"/>
  <c r="AL28" i="17"/>
  <c r="AL19" i="17"/>
  <c r="AL21" i="17"/>
  <c r="AL23" i="17"/>
  <c r="AL25" i="17"/>
  <c r="AL18" i="17"/>
  <c r="AL24" i="17"/>
  <c r="AL26" i="17"/>
  <c r="AL27" i="17"/>
  <c r="AL29" i="17"/>
  <c r="AM22" i="17"/>
  <c r="AN8" i="17"/>
  <c r="AN18" i="17"/>
  <c r="AN24" i="17"/>
  <c r="AN26" i="17"/>
  <c r="AN28" i="17"/>
  <c r="AN19" i="17"/>
  <c r="AN21" i="17"/>
  <c r="AN23" i="17"/>
  <c r="AN25" i="17"/>
  <c r="AN27" i="17"/>
  <c r="AN29" i="17"/>
  <c r="AN20" i="17"/>
  <c r="AN22" i="17"/>
  <c r="AP10" i="17"/>
  <c r="AP21" i="17"/>
  <c r="AP23" i="17"/>
  <c r="AP25" i="17"/>
  <c r="AP27" i="17"/>
  <c r="AP29" i="17"/>
  <c r="AP18" i="17"/>
  <c r="AP20" i="17"/>
  <c r="AP22" i="17"/>
  <c r="AP24" i="17"/>
  <c r="AP26" i="17"/>
  <c r="AP19" i="17"/>
  <c r="AP28" i="17"/>
  <c r="W7" i="17"/>
  <c r="W3" i="17"/>
  <c r="AC13" i="17"/>
  <c r="AB3" i="17"/>
  <c r="AJ3" i="17"/>
  <c r="AC4" i="17"/>
  <c r="AD5" i="17"/>
  <c r="AL5" i="17"/>
  <c r="W6" i="17"/>
  <c r="AE6" i="17"/>
  <c r="AM6" i="17"/>
  <c r="X7" i="17"/>
  <c r="AF7" i="17"/>
  <c r="AN7" i="17"/>
  <c r="Y8" i="17"/>
  <c r="AG8" i="17"/>
  <c r="Z9" i="17"/>
  <c r="AP9" i="17"/>
  <c r="AA10" i="17"/>
  <c r="AI10" i="17"/>
  <c r="AB11" i="17"/>
  <c r="AJ11" i="17"/>
  <c r="AC12" i="17"/>
  <c r="AD13" i="17"/>
  <c r="AL13" i="17"/>
  <c r="W14" i="17"/>
  <c r="AE14" i="17"/>
  <c r="AC3" i="17"/>
  <c r="AD4" i="17"/>
  <c r="AL4" i="17"/>
  <c r="W5" i="17"/>
  <c r="AE5" i="17"/>
  <c r="X6" i="17"/>
  <c r="AF6" i="17"/>
  <c r="AN6" i="17"/>
  <c r="Y7" i="17"/>
  <c r="AG7" i="17"/>
  <c r="Z8" i="17"/>
  <c r="AP8" i="17"/>
  <c r="AA9" i="17"/>
  <c r="AI9" i="17"/>
  <c r="AB10" i="17"/>
  <c r="AJ10" i="17"/>
  <c r="AC11" i="17"/>
  <c r="AD12" i="17"/>
  <c r="AL12" i="17"/>
  <c r="W13" i="17"/>
  <c r="AE13" i="17"/>
  <c r="X14" i="17"/>
  <c r="AF14" i="17"/>
  <c r="AN14" i="17"/>
  <c r="AD3" i="17"/>
  <c r="AL3" i="17"/>
  <c r="W4" i="17"/>
  <c r="AE4" i="17"/>
  <c r="X5" i="17"/>
  <c r="AF5" i="17"/>
  <c r="AN5" i="17"/>
  <c r="Y6" i="17"/>
  <c r="AG6" i="17"/>
  <c r="Z7" i="17"/>
  <c r="AP7" i="17"/>
  <c r="AA8" i="17"/>
  <c r="AI8" i="17"/>
  <c r="AB9" i="17"/>
  <c r="AJ9" i="17"/>
  <c r="AC10" i="17"/>
  <c r="AD11" i="17"/>
  <c r="AL11" i="17"/>
  <c r="W12" i="17"/>
  <c r="AE12" i="17"/>
  <c r="X13" i="17"/>
  <c r="AF13" i="17"/>
  <c r="AN13" i="17"/>
  <c r="Y14" i="17"/>
  <c r="AG14" i="17"/>
  <c r="AE3" i="17"/>
  <c r="X4" i="17"/>
  <c r="AF4" i="17"/>
  <c r="AN4" i="17"/>
  <c r="Y5" i="17"/>
  <c r="AG5" i="17"/>
  <c r="Z6" i="17"/>
  <c r="AP6" i="17"/>
  <c r="AA7" i="17"/>
  <c r="AI7" i="17"/>
  <c r="AB8" i="17"/>
  <c r="AJ8" i="17"/>
  <c r="AC9" i="17"/>
  <c r="AD10" i="17"/>
  <c r="AL10" i="17"/>
  <c r="W11" i="17"/>
  <c r="AE11" i="17"/>
  <c r="X12" i="17"/>
  <c r="AF12" i="17"/>
  <c r="AN12" i="17"/>
  <c r="Y13" i="17"/>
  <c r="AG13" i="17"/>
  <c r="Z14" i="17"/>
  <c r="AP14" i="17"/>
  <c r="X3" i="17"/>
  <c r="AF3" i="17"/>
  <c r="AN3" i="17"/>
  <c r="V30" i="6" s="1"/>
  <c r="Y4" i="17"/>
  <c r="AG4" i="17"/>
  <c r="Z5" i="17"/>
  <c r="AH5" i="17"/>
  <c r="AP5" i="17"/>
  <c r="AA6" i="17"/>
  <c r="AI6" i="17"/>
  <c r="AB7" i="17"/>
  <c r="AJ7" i="17"/>
  <c r="AC8" i="17"/>
  <c r="AD9" i="17"/>
  <c r="AL9" i="17"/>
  <c r="W10" i="17"/>
  <c r="AE10" i="17"/>
  <c r="X11" i="17"/>
  <c r="AF11" i="17"/>
  <c r="AN11" i="17"/>
  <c r="Y12" i="17"/>
  <c r="AG12" i="17"/>
  <c r="AO12" i="17"/>
  <c r="Z13" i="17"/>
  <c r="AP13" i="17"/>
  <c r="AA14" i="17"/>
  <c r="AI14" i="17"/>
  <c r="AG3" i="17"/>
  <c r="Z4" i="17"/>
  <c r="AP4" i="17"/>
  <c r="AA5" i="17"/>
  <c r="AI5" i="17"/>
  <c r="AB6" i="17"/>
  <c r="AJ6" i="17"/>
  <c r="AC7" i="17"/>
  <c r="AD8" i="17"/>
  <c r="AL8" i="17"/>
  <c r="W9" i="17"/>
  <c r="AE9" i="17"/>
  <c r="X10" i="17"/>
  <c r="AF10" i="17"/>
  <c r="AN10" i="17"/>
  <c r="Y11" i="17"/>
  <c r="AG11" i="17"/>
  <c r="AO11" i="17"/>
  <c r="Z12" i="17"/>
  <c r="AP12" i="17"/>
  <c r="AA13" i="17"/>
  <c r="AI13" i="17"/>
  <c r="AB14" i="17"/>
  <c r="AJ14" i="17"/>
  <c r="Z3" i="17"/>
  <c r="AP3" i="17"/>
  <c r="AA4" i="17"/>
  <c r="AI4" i="17"/>
  <c r="AB5" i="17"/>
  <c r="AJ5" i="17"/>
  <c r="AC6" i="17"/>
  <c r="AD7" i="17"/>
  <c r="AL7" i="17"/>
  <c r="W8" i="17"/>
  <c r="AE8" i="17"/>
  <c r="X9" i="17"/>
  <c r="AF9" i="17"/>
  <c r="AN9" i="17"/>
  <c r="Y10" i="17"/>
  <c r="AG10" i="17"/>
  <c r="AO10" i="17"/>
  <c r="Z11" i="17"/>
  <c r="AP11" i="17"/>
  <c r="AA12" i="17"/>
  <c r="AI12" i="17"/>
  <c r="AB13" i="17"/>
  <c r="AJ13" i="17"/>
  <c r="AC14" i="17"/>
  <c r="AK14" i="17"/>
  <c r="AA3" i="17"/>
  <c r="AI3" i="17"/>
  <c r="AB4" i="17"/>
  <c r="AJ4" i="17"/>
  <c r="AC5" i="17"/>
  <c r="AD6" i="17"/>
  <c r="AL6" i="17"/>
  <c r="AK3" i="17" l="1"/>
  <c r="AO27" i="17"/>
  <c r="AO22" i="17"/>
  <c r="AK24" i="17"/>
  <c r="AK18" i="17"/>
  <c r="AK5" i="17"/>
  <c r="AK6" i="17"/>
  <c r="AK7" i="17"/>
  <c r="AO3" i="17"/>
  <c r="AK8" i="17"/>
  <c r="AK4" i="17"/>
  <c r="AO25" i="17"/>
  <c r="AO20" i="17"/>
  <c r="AK22" i="17"/>
  <c r="AK19" i="17"/>
  <c r="AO4" i="17"/>
  <c r="AO13" i="17"/>
  <c r="AO23" i="17"/>
  <c r="AO9" i="17"/>
  <c r="AK20" i="17"/>
  <c r="AO24" i="17"/>
  <c r="AO14" i="17"/>
  <c r="AO21" i="17"/>
  <c r="AK29" i="17"/>
  <c r="AK26" i="17"/>
  <c r="AK9" i="17"/>
  <c r="AO5" i="17"/>
  <c r="AO19" i="17"/>
  <c r="AK27" i="17"/>
  <c r="AK21" i="17"/>
  <c r="AK10" i="17"/>
  <c r="AO6" i="17"/>
  <c r="AK13" i="17"/>
  <c r="AO28" i="17"/>
  <c r="AK25" i="17"/>
  <c r="AO29" i="17"/>
  <c r="AK11" i="17"/>
  <c r="AO7" i="17"/>
  <c r="AK12" i="17"/>
  <c r="AO8" i="17"/>
  <c r="AO18" i="17"/>
  <c r="AK28" i="17"/>
  <c r="AM7" i="17"/>
  <c r="AH9" i="17"/>
  <c r="AH24" i="17"/>
  <c r="AH10" i="17"/>
  <c r="AH11" i="17"/>
  <c r="AM28" i="17"/>
  <c r="AM21" i="17"/>
  <c r="AH27" i="17"/>
  <c r="AH21" i="17"/>
  <c r="AM8" i="17"/>
  <c r="AM26" i="17"/>
  <c r="AM19" i="17"/>
  <c r="AH26" i="17"/>
  <c r="AH19" i="17"/>
  <c r="AH12" i="17"/>
  <c r="AM9" i="17"/>
  <c r="AH14" i="17"/>
  <c r="AM11" i="17"/>
  <c r="AH7" i="17"/>
  <c r="AM4" i="17"/>
  <c r="AM13" i="17"/>
  <c r="AM18" i="17"/>
  <c r="AH22" i="17"/>
  <c r="AA27" i="17"/>
  <c r="AA20" i="17"/>
  <c r="AH3" i="17"/>
  <c r="AM29" i="17"/>
  <c r="AH20" i="17"/>
  <c r="AA11" i="17"/>
  <c r="AM27" i="17"/>
  <c r="AH18" i="17"/>
  <c r="AA23" i="17"/>
  <c r="AH13" i="17"/>
  <c r="AM10" i="17"/>
  <c r="AM14" i="17"/>
  <c r="AM20" i="17"/>
  <c r="AM25" i="17"/>
  <c r="AH28" i="17"/>
  <c r="AH25" i="17"/>
  <c r="AA21" i="17"/>
  <c r="AH4" i="17"/>
  <c r="AH6" i="17"/>
  <c r="AM3" i="17"/>
  <c r="AM12" i="17"/>
  <c r="AH8" i="17"/>
  <c r="AM5" i="17"/>
  <c r="AM24" i="17"/>
  <c r="AH29" i="17"/>
  <c r="T218" i="13"/>
  <c r="T4" i="13" l="1"/>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2"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T81" i="13"/>
  <c r="T82" i="13"/>
  <c r="T83" i="13"/>
  <c r="T84" i="13"/>
  <c r="T85" i="13"/>
  <c r="T86" i="13"/>
  <c r="T87" i="13"/>
  <c r="T88" i="13"/>
  <c r="T89" i="13"/>
  <c r="T90" i="13"/>
  <c r="T91" i="13"/>
  <c r="T92" i="13"/>
  <c r="T93" i="13"/>
  <c r="T94" i="13"/>
  <c r="T95" i="13"/>
  <c r="T96" i="13"/>
  <c r="T97" i="13"/>
  <c r="T98" i="13"/>
  <c r="T99" i="13"/>
  <c r="T100" i="13"/>
  <c r="T101" i="13"/>
  <c r="T102" i="13"/>
  <c r="T103" i="13"/>
  <c r="T104" i="13"/>
  <c r="T105" i="13"/>
  <c r="T106" i="13"/>
  <c r="T107" i="13"/>
  <c r="T108" i="13"/>
  <c r="T109" i="13"/>
  <c r="T110" i="13"/>
  <c r="T111" i="13"/>
  <c r="T112" i="13"/>
  <c r="T113" i="13"/>
  <c r="T114" i="13"/>
  <c r="T115" i="13"/>
  <c r="T116" i="13"/>
  <c r="T117" i="13"/>
  <c r="T118" i="13"/>
  <c r="T119" i="13"/>
  <c r="T120" i="13"/>
  <c r="T121" i="13"/>
  <c r="T122" i="13"/>
  <c r="T123" i="13"/>
  <c r="T124" i="13"/>
  <c r="T125" i="13"/>
  <c r="T126" i="13"/>
  <c r="T127" i="13"/>
  <c r="T128" i="13"/>
  <c r="T129" i="13"/>
  <c r="T130" i="13"/>
  <c r="T131" i="13"/>
  <c r="T132" i="13"/>
  <c r="T133" i="13"/>
  <c r="T134" i="13"/>
  <c r="T135" i="13"/>
  <c r="T136" i="13"/>
  <c r="T137" i="13"/>
  <c r="T138" i="13"/>
  <c r="T139" i="13"/>
  <c r="T140" i="13"/>
  <c r="T141" i="13"/>
  <c r="T142" i="13"/>
  <c r="T143" i="13"/>
  <c r="T144" i="13"/>
  <c r="T145" i="13"/>
  <c r="T146" i="13"/>
  <c r="T147" i="13"/>
  <c r="T148" i="13"/>
  <c r="T149" i="13"/>
  <c r="T150" i="13"/>
  <c r="T151" i="13"/>
  <c r="T152" i="13"/>
  <c r="T153" i="13"/>
  <c r="T154" i="13"/>
  <c r="T155" i="13"/>
  <c r="T156" i="13"/>
  <c r="T157" i="13"/>
  <c r="T158" i="13"/>
  <c r="T159" i="13"/>
  <c r="T160" i="13"/>
  <c r="T161" i="13"/>
  <c r="T162" i="13"/>
  <c r="T163" i="13"/>
  <c r="T164" i="13"/>
  <c r="T165" i="13"/>
  <c r="T166" i="13"/>
  <c r="T167" i="13"/>
  <c r="T168" i="13"/>
  <c r="T169" i="13"/>
  <c r="T170" i="13"/>
  <c r="T171" i="13"/>
  <c r="T172" i="13"/>
  <c r="T173" i="13"/>
  <c r="T174" i="13"/>
  <c r="T175" i="13"/>
  <c r="T176" i="13"/>
  <c r="T177" i="13"/>
  <c r="T178" i="13"/>
  <c r="T179" i="13"/>
  <c r="T180" i="13"/>
  <c r="T181" i="13"/>
  <c r="T182" i="13"/>
  <c r="T183" i="13"/>
  <c r="T184" i="13"/>
  <c r="T185" i="13"/>
  <c r="T186" i="13"/>
  <c r="T187" i="13"/>
  <c r="T188" i="13"/>
  <c r="T189" i="13"/>
  <c r="T190" i="13"/>
  <c r="T191" i="13"/>
  <c r="T192" i="13"/>
  <c r="T193" i="13"/>
  <c r="T194" i="13"/>
  <c r="T195" i="13"/>
  <c r="T196" i="13"/>
  <c r="T197" i="13"/>
  <c r="T198" i="13"/>
  <c r="T199" i="13"/>
  <c r="T200" i="13"/>
  <c r="T201" i="13"/>
  <c r="T202" i="13"/>
  <c r="T203" i="13"/>
  <c r="T204" i="13"/>
  <c r="T205" i="13"/>
  <c r="T206" i="13"/>
  <c r="T207" i="13"/>
  <c r="T208" i="13"/>
  <c r="T209" i="13"/>
  <c r="T210" i="13"/>
  <c r="T211" i="13"/>
  <c r="T212" i="13"/>
  <c r="T213" i="13"/>
  <c r="T214" i="13"/>
  <c r="T215" i="13"/>
  <c r="T216" i="13"/>
  <c r="T217" i="13"/>
  <c r="T219" i="13"/>
  <c r="T220" i="13"/>
  <c r="T221" i="13"/>
  <c r="T222" i="13"/>
  <c r="T223" i="13"/>
  <c r="T224" i="13"/>
  <c r="T225" i="13"/>
  <c r="T226" i="13"/>
  <c r="T227" i="13"/>
  <c r="T228" i="13"/>
  <c r="T229" i="13"/>
  <c r="T230" i="13"/>
  <c r="T231" i="13"/>
  <c r="T232" i="13"/>
  <c r="T233" i="13"/>
  <c r="T234" i="13"/>
  <c r="T235" i="13"/>
  <c r="T236" i="13"/>
  <c r="T237" i="13"/>
  <c r="T238" i="13"/>
  <c r="T239" i="13"/>
  <c r="T240" i="13"/>
  <c r="T241" i="13"/>
  <c r="T242" i="13"/>
  <c r="K5" i="3" l="1"/>
  <c r="G2" i="6"/>
  <c r="H2" i="6"/>
  <c r="G22" i="6" l="1"/>
  <c r="E32" i="3" l="1"/>
  <c r="F32" i="3"/>
  <c r="G32" i="3"/>
  <c r="E33" i="3"/>
  <c r="F33" i="3"/>
  <c r="G33" i="3"/>
  <c r="AG33" i="3"/>
  <c r="E34" i="3"/>
  <c r="F34" i="3"/>
  <c r="G34" i="3"/>
  <c r="AG34" i="3"/>
  <c r="E35" i="3"/>
  <c r="F35" i="3"/>
  <c r="G35" i="3"/>
  <c r="AG35" i="3"/>
  <c r="D35" i="3"/>
  <c r="D34" i="3"/>
  <c r="D33" i="3"/>
  <c r="D32" i="3"/>
  <c r="P2" i="6" l="1"/>
  <c r="B39" i="3" l="1"/>
  <c r="C13" i="15"/>
  <c r="C5" i="15" s="1"/>
  <c r="C4" i="15" l="1"/>
  <c r="G23" i="6" l="1"/>
  <c r="G24" i="6"/>
  <c r="O26" i="6" l="1"/>
  <c r="AN26" i="6"/>
  <c r="J26" i="6"/>
  <c r="AI26" i="6"/>
  <c r="AD26" i="6"/>
  <c r="R26" i="6"/>
  <c r="AL26" i="6"/>
  <c r="T26" i="6"/>
  <c r="AG26" i="6"/>
  <c r="S26" i="6"/>
  <c r="AJ26" i="6"/>
  <c r="W26" i="6"/>
  <c r="AB26" i="6"/>
  <c r="L26" i="6"/>
  <c r="AH26" i="6"/>
  <c r="Y26" i="6"/>
  <c r="P26" i="6"/>
  <c r="AK26" i="6"/>
  <c r="AF26" i="6"/>
  <c r="AE26" i="6"/>
  <c r="I26" i="6"/>
  <c r="Z26" i="6"/>
  <c r="M26" i="6"/>
  <c r="M36" i="6" s="1"/>
  <c r="Q26" i="6"/>
  <c r="U26" i="6"/>
  <c r="AC26" i="6"/>
  <c r="K26" i="6"/>
  <c r="K41" i="6" s="1"/>
  <c r="G30" i="6"/>
  <c r="AA26" i="6"/>
  <c r="AM26" i="6"/>
  <c r="N26" i="6"/>
  <c r="X26" i="6"/>
  <c r="V26" i="6"/>
  <c r="K38" i="6"/>
  <c r="K35" i="6"/>
  <c r="K30" i="6"/>
  <c r="K33" i="6"/>
  <c r="K34" i="6"/>
  <c r="K39" i="6"/>
  <c r="K40" i="6"/>
  <c r="K31" i="6"/>
  <c r="K32" i="6"/>
  <c r="I2" i="6"/>
  <c r="J2" i="6"/>
  <c r="K2" i="6"/>
  <c r="L2" i="6"/>
  <c r="M2" i="6"/>
  <c r="N2" i="6"/>
  <c r="O2" i="6"/>
  <c r="Q2" i="6"/>
  <c r="R2" i="6"/>
  <c r="S2" i="6"/>
  <c r="T2" i="6"/>
  <c r="U2" i="6"/>
  <c r="V2" i="6"/>
  <c r="W2" i="6"/>
  <c r="M32" i="6" l="1"/>
  <c r="M31" i="6"/>
  <c r="M33" i="6"/>
  <c r="M35" i="6"/>
  <c r="M41" i="6"/>
  <c r="M37" i="6"/>
  <c r="K37" i="6"/>
  <c r="M30" i="6"/>
  <c r="M34" i="6"/>
  <c r="M38" i="6"/>
  <c r="K36" i="6"/>
  <c r="M40" i="6"/>
  <c r="M39" i="6"/>
  <c r="N35" i="6"/>
  <c r="N40" i="6"/>
  <c r="N30" i="6"/>
  <c r="N36" i="6"/>
  <c r="N41" i="6"/>
  <c r="N38" i="6"/>
  <c r="N33" i="6"/>
  <c r="N39" i="6"/>
  <c r="N32" i="6"/>
  <c r="N31" i="6"/>
  <c r="N37" i="6"/>
  <c r="N34" i="6"/>
  <c r="S41" i="6"/>
  <c r="S38" i="6"/>
  <c r="S32" i="6"/>
  <c r="S30" i="6"/>
  <c r="S37" i="6"/>
  <c r="S35" i="6"/>
  <c r="S36" i="6"/>
  <c r="S40" i="6"/>
  <c r="S33" i="6"/>
  <c r="S31" i="6"/>
  <c r="S34" i="6"/>
  <c r="S39" i="6"/>
  <c r="V35" i="6"/>
  <c r="V39" i="6"/>
  <c r="V38" i="6"/>
  <c r="V31" i="6"/>
  <c r="V36" i="6"/>
  <c r="V33" i="6"/>
  <c r="V37" i="6"/>
  <c r="V32" i="6"/>
  <c r="V41" i="6"/>
  <c r="V40" i="6"/>
  <c r="V34" i="6"/>
  <c r="U34" i="6"/>
  <c r="U37" i="6"/>
  <c r="U38" i="6"/>
  <c r="U31" i="6"/>
  <c r="U41" i="6"/>
  <c r="U32" i="6"/>
  <c r="U40" i="6"/>
  <c r="U33" i="6"/>
  <c r="U35" i="6"/>
  <c r="U30" i="6"/>
  <c r="U39" i="6"/>
  <c r="U36" i="6"/>
  <c r="L41" i="6"/>
  <c r="L30" i="6"/>
  <c r="L34" i="6"/>
  <c r="L38" i="6"/>
  <c r="L39" i="6"/>
  <c r="L33" i="6"/>
  <c r="L36" i="6"/>
  <c r="L32" i="6"/>
  <c r="L40" i="6"/>
  <c r="L37" i="6"/>
  <c r="L35" i="6"/>
  <c r="L31" i="6"/>
  <c r="P37" i="6"/>
  <c r="P30" i="6"/>
  <c r="P41" i="6"/>
  <c r="P34" i="6"/>
  <c r="P35" i="6"/>
  <c r="P32" i="6"/>
  <c r="P40" i="6"/>
  <c r="P36" i="6"/>
  <c r="P31" i="6"/>
  <c r="P39" i="6"/>
  <c r="P33" i="6"/>
  <c r="P38" i="6"/>
  <c r="W36" i="6"/>
  <c r="W31" i="6"/>
  <c r="W37" i="6"/>
  <c r="W32" i="6"/>
  <c r="W35" i="6"/>
  <c r="W34" i="6"/>
  <c r="W33" i="6"/>
  <c r="W30" i="6"/>
  <c r="W41" i="6"/>
  <c r="W38" i="6"/>
  <c r="W39" i="6"/>
  <c r="W40" i="6"/>
  <c r="I38" i="6"/>
  <c r="I34" i="6"/>
  <c r="I36" i="6"/>
  <c r="I41" i="6"/>
  <c r="I40" i="6"/>
  <c r="I37" i="6"/>
  <c r="I31" i="6"/>
  <c r="I30" i="6"/>
  <c r="I32" i="6"/>
  <c r="I35" i="6"/>
  <c r="I39" i="6"/>
  <c r="I33" i="6"/>
  <c r="R39" i="6"/>
  <c r="R34" i="6"/>
  <c r="R31" i="6"/>
  <c r="R40" i="6"/>
  <c r="R32" i="6"/>
  <c r="R37" i="6"/>
  <c r="R35" i="6"/>
  <c r="R30" i="6"/>
  <c r="R41" i="6"/>
  <c r="R36" i="6"/>
  <c r="R33" i="6"/>
  <c r="R38" i="6"/>
  <c r="J39" i="6"/>
  <c r="J31" i="6"/>
  <c r="J34" i="6"/>
  <c r="J36" i="6"/>
  <c r="J33" i="6"/>
  <c r="J32" i="6"/>
  <c r="J35" i="6"/>
  <c r="J41" i="6"/>
  <c r="J40" i="6"/>
  <c r="J38" i="6"/>
  <c r="J37" i="6"/>
  <c r="J30" i="6"/>
  <c r="G36" i="6"/>
  <c r="G39" i="6"/>
  <c r="G38" i="6"/>
  <c r="G33" i="6"/>
  <c r="G40" i="6"/>
  <c r="G32" i="6"/>
  <c r="G41" i="6"/>
  <c r="G35" i="6"/>
  <c r="G31" i="6"/>
  <c r="G34" i="6"/>
  <c r="G37" i="6"/>
  <c r="Q38" i="6"/>
  <c r="Q33" i="6"/>
  <c r="Q39" i="6"/>
  <c r="Q31" i="6"/>
  <c r="Q36" i="6"/>
  <c r="Q40" i="6"/>
  <c r="Q32" i="6"/>
  <c r="Q30" i="6"/>
  <c r="Q37" i="6"/>
  <c r="Q35" i="6"/>
  <c r="Q41" i="6"/>
  <c r="Q34" i="6"/>
  <c r="T41" i="6"/>
  <c r="T36" i="6"/>
  <c r="T30" i="6"/>
  <c r="T31" i="6"/>
  <c r="T39" i="6"/>
  <c r="T40" i="6"/>
  <c r="T33" i="6"/>
  <c r="T38" i="6"/>
  <c r="T34" i="6"/>
  <c r="T35" i="6"/>
  <c r="T37" i="6"/>
  <c r="T32" i="6"/>
  <c r="H37" i="6"/>
  <c r="H38" i="6"/>
  <c r="H34" i="6"/>
  <c r="H32" i="6"/>
  <c r="H36" i="6"/>
  <c r="H35" i="6"/>
  <c r="H39" i="6"/>
  <c r="H31" i="6"/>
  <c r="H33" i="6"/>
  <c r="H41" i="6"/>
  <c r="H30" i="6"/>
  <c r="H40" i="6"/>
  <c r="O36" i="6"/>
  <c r="O33" i="6"/>
  <c r="O34" i="6"/>
  <c r="O38" i="6"/>
  <c r="O30" i="6"/>
  <c r="O39" i="6"/>
  <c r="O31" i="6"/>
  <c r="O37" i="6"/>
  <c r="O32" i="6"/>
  <c r="O35" i="6"/>
  <c r="O41" i="6"/>
  <c r="O40" i="6"/>
  <c r="E4" i="13"/>
  <c r="F4" i="13"/>
  <c r="E5" i="13"/>
  <c r="F5" i="13"/>
  <c r="E6" i="13"/>
  <c r="F6" i="13"/>
  <c r="E7" i="13"/>
  <c r="F7" i="13"/>
  <c r="E8" i="13"/>
  <c r="F8" i="13"/>
  <c r="E9" i="13"/>
  <c r="F9" i="13"/>
  <c r="E10" i="13"/>
  <c r="F10" i="13"/>
  <c r="E11" i="13"/>
  <c r="F11" i="13"/>
  <c r="E12" i="13"/>
  <c r="F12" i="13"/>
  <c r="E13" i="13"/>
  <c r="F13" i="13"/>
  <c r="E14" i="13"/>
  <c r="F14" i="13"/>
  <c r="E15" i="13"/>
  <c r="F15" i="13"/>
  <c r="E16" i="13"/>
  <c r="F16" i="13"/>
  <c r="E17" i="13"/>
  <c r="F17" i="13"/>
  <c r="E18" i="13"/>
  <c r="F18" i="13"/>
  <c r="E19" i="13"/>
  <c r="F19" i="13"/>
  <c r="E20" i="13"/>
  <c r="F20" i="13"/>
  <c r="E21" i="13"/>
  <c r="F21" i="13"/>
  <c r="E22" i="13"/>
  <c r="F22" i="13"/>
  <c r="E23" i="13"/>
  <c r="F23" i="13"/>
  <c r="E24" i="13"/>
  <c r="F24" i="13"/>
  <c r="E25" i="13"/>
  <c r="F25" i="13"/>
  <c r="E26" i="13"/>
  <c r="F26" i="13"/>
  <c r="E27" i="13"/>
  <c r="F27" i="13"/>
  <c r="E28" i="13"/>
  <c r="F28" i="13"/>
  <c r="E29" i="13"/>
  <c r="F29" i="13"/>
  <c r="E30" i="13"/>
  <c r="F30" i="13"/>
  <c r="E31" i="13"/>
  <c r="F31" i="13"/>
  <c r="E32" i="13"/>
  <c r="F32" i="13"/>
  <c r="E33" i="13"/>
  <c r="F33" i="13"/>
  <c r="E34" i="13"/>
  <c r="F34" i="13"/>
  <c r="E35" i="13"/>
  <c r="F35" i="13"/>
  <c r="E36" i="13"/>
  <c r="F36" i="13"/>
  <c r="E37" i="13"/>
  <c r="F37" i="13"/>
  <c r="E38" i="13"/>
  <c r="F38" i="13"/>
  <c r="E39" i="13"/>
  <c r="F39" i="13"/>
  <c r="E40" i="13"/>
  <c r="F40" i="13"/>
  <c r="E41" i="13"/>
  <c r="F41" i="13"/>
  <c r="E42" i="13"/>
  <c r="F42" i="13"/>
  <c r="E43" i="13"/>
  <c r="F43" i="13"/>
  <c r="E44" i="13"/>
  <c r="F44" i="13"/>
  <c r="E45" i="13"/>
  <c r="F45" i="13"/>
  <c r="E46" i="13"/>
  <c r="F46" i="13"/>
  <c r="E47" i="13"/>
  <c r="F47" i="13"/>
  <c r="E48" i="13"/>
  <c r="F48" i="13"/>
  <c r="E49" i="13"/>
  <c r="F49" i="13"/>
  <c r="E50" i="13"/>
  <c r="F50" i="13"/>
  <c r="E51" i="13"/>
  <c r="F51" i="13"/>
  <c r="E52" i="13"/>
  <c r="F52" i="13"/>
  <c r="E53" i="13"/>
  <c r="F53" i="13"/>
  <c r="E54" i="13"/>
  <c r="F54" i="13"/>
  <c r="E55" i="13"/>
  <c r="F55" i="13"/>
  <c r="E56" i="13"/>
  <c r="F56" i="13"/>
  <c r="E57" i="13"/>
  <c r="F57" i="13"/>
  <c r="E58" i="13"/>
  <c r="F58" i="13"/>
  <c r="E59" i="13"/>
  <c r="F59" i="13"/>
  <c r="E60" i="13"/>
  <c r="F60" i="13"/>
  <c r="E61" i="13"/>
  <c r="F61" i="13"/>
  <c r="E62" i="13"/>
  <c r="F62" i="13"/>
  <c r="E63" i="13"/>
  <c r="F63" i="13"/>
  <c r="E64" i="13"/>
  <c r="F64" i="13"/>
  <c r="E65" i="13"/>
  <c r="F65" i="13"/>
  <c r="E66" i="13"/>
  <c r="F66" i="13"/>
  <c r="E67" i="13"/>
  <c r="F67" i="13"/>
  <c r="E68" i="13"/>
  <c r="F68" i="13"/>
  <c r="E69" i="13"/>
  <c r="F69" i="13"/>
  <c r="E70" i="13"/>
  <c r="F70" i="13"/>
  <c r="E71" i="13"/>
  <c r="F71" i="13"/>
  <c r="E72" i="13"/>
  <c r="F72" i="13"/>
  <c r="E73" i="13"/>
  <c r="F73" i="13"/>
  <c r="E74" i="13"/>
  <c r="F74" i="13"/>
  <c r="E75" i="13"/>
  <c r="F75" i="13"/>
  <c r="E76" i="13"/>
  <c r="F76" i="13"/>
  <c r="E77" i="13"/>
  <c r="F77" i="13"/>
  <c r="E78" i="13"/>
  <c r="F78" i="13"/>
  <c r="E79" i="13"/>
  <c r="F79" i="13"/>
  <c r="E80" i="13"/>
  <c r="F80" i="13"/>
  <c r="E81" i="13"/>
  <c r="F81" i="13"/>
  <c r="E82" i="13"/>
  <c r="F82" i="13"/>
  <c r="E83" i="13"/>
  <c r="F83" i="13"/>
  <c r="E84" i="13"/>
  <c r="F84" i="13"/>
  <c r="E85" i="13"/>
  <c r="F85" i="13"/>
  <c r="E86" i="13"/>
  <c r="F86" i="13"/>
  <c r="E87" i="13"/>
  <c r="F87" i="13"/>
  <c r="E88" i="13"/>
  <c r="F88" i="13"/>
  <c r="E89" i="13"/>
  <c r="F89" i="13"/>
  <c r="E90" i="13"/>
  <c r="F90" i="13"/>
  <c r="E91" i="13"/>
  <c r="F91" i="13"/>
  <c r="E92" i="13"/>
  <c r="F92" i="13"/>
  <c r="E93" i="13"/>
  <c r="F93" i="13"/>
  <c r="E94" i="13"/>
  <c r="F94" i="13"/>
  <c r="E95" i="13"/>
  <c r="F95" i="13"/>
  <c r="E96" i="13"/>
  <c r="F96" i="13"/>
  <c r="E97" i="13"/>
  <c r="F97" i="13"/>
  <c r="E98" i="13"/>
  <c r="F98" i="13"/>
  <c r="E99" i="13"/>
  <c r="F99" i="13"/>
  <c r="E100" i="13"/>
  <c r="F100" i="13"/>
  <c r="E101" i="13"/>
  <c r="F101" i="13"/>
  <c r="E102" i="13"/>
  <c r="F102" i="13"/>
  <c r="E103" i="13"/>
  <c r="F103" i="13"/>
  <c r="E104" i="13"/>
  <c r="F104" i="13"/>
  <c r="E105" i="13"/>
  <c r="F105" i="13"/>
  <c r="E106" i="13"/>
  <c r="F106" i="13"/>
  <c r="E107" i="13"/>
  <c r="F107" i="13"/>
  <c r="E108" i="13"/>
  <c r="F108" i="13"/>
  <c r="E109" i="13"/>
  <c r="F109" i="13"/>
  <c r="E110" i="13"/>
  <c r="F110" i="13"/>
  <c r="E111" i="13"/>
  <c r="F111" i="13"/>
  <c r="E112" i="13"/>
  <c r="F112" i="13"/>
  <c r="E113" i="13"/>
  <c r="F113" i="13"/>
  <c r="E114" i="13"/>
  <c r="F114" i="13"/>
  <c r="E115" i="13"/>
  <c r="F115" i="13"/>
  <c r="E116" i="13"/>
  <c r="F116" i="13"/>
  <c r="E117" i="13"/>
  <c r="F117" i="13"/>
  <c r="E118" i="13"/>
  <c r="F118" i="13"/>
  <c r="E119" i="13"/>
  <c r="F119" i="13"/>
  <c r="E120" i="13"/>
  <c r="F120" i="13"/>
  <c r="E121" i="13"/>
  <c r="F121" i="13"/>
  <c r="E122" i="13"/>
  <c r="F122" i="13"/>
  <c r="E123" i="13"/>
  <c r="F123" i="13"/>
  <c r="E124" i="13"/>
  <c r="F124" i="13"/>
  <c r="E125" i="13"/>
  <c r="F125" i="13"/>
  <c r="E126" i="13"/>
  <c r="F126" i="13"/>
  <c r="E127" i="13"/>
  <c r="F127" i="13"/>
  <c r="E128" i="13"/>
  <c r="F128" i="13"/>
  <c r="E129" i="13"/>
  <c r="F129" i="13"/>
  <c r="E130" i="13"/>
  <c r="F130" i="13"/>
  <c r="E131" i="13"/>
  <c r="F131" i="13"/>
  <c r="E132" i="13"/>
  <c r="F132" i="13"/>
  <c r="E133" i="13"/>
  <c r="F133" i="13"/>
  <c r="E134" i="13"/>
  <c r="F134" i="13"/>
  <c r="E135" i="13"/>
  <c r="F135" i="13"/>
  <c r="E136" i="13"/>
  <c r="F136" i="13"/>
  <c r="E137" i="13"/>
  <c r="F137" i="13"/>
  <c r="E138" i="13"/>
  <c r="F138" i="13"/>
  <c r="E139" i="13"/>
  <c r="F139" i="13"/>
  <c r="E140" i="13"/>
  <c r="F140" i="13"/>
  <c r="E141" i="13"/>
  <c r="F141" i="13"/>
  <c r="E142" i="13"/>
  <c r="F142" i="13"/>
  <c r="E143" i="13"/>
  <c r="F143" i="13"/>
  <c r="E144" i="13"/>
  <c r="F144" i="13"/>
  <c r="E145" i="13"/>
  <c r="F145" i="13"/>
  <c r="E146" i="13"/>
  <c r="F146" i="13"/>
  <c r="E147" i="13"/>
  <c r="F147" i="13"/>
  <c r="E148" i="13"/>
  <c r="F148" i="13"/>
  <c r="E149" i="13"/>
  <c r="F149" i="13"/>
  <c r="E150" i="13"/>
  <c r="F150" i="13"/>
  <c r="E151" i="13"/>
  <c r="F151" i="13"/>
  <c r="E152" i="13"/>
  <c r="F152" i="13"/>
  <c r="E153" i="13"/>
  <c r="F153" i="13"/>
  <c r="E154" i="13"/>
  <c r="F154" i="13"/>
  <c r="E155" i="13"/>
  <c r="F155" i="13"/>
  <c r="E156" i="13"/>
  <c r="F156" i="13"/>
  <c r="E157" i="13"/>
  <c r="F157" i="13"/>
  <c r="E158" i="13"/>
  <c r="F158" i="13"/>
  <c r="E159" i="13"/>
  <c r="F159" i="13"/>
  <c r="E160" i="13"/>
  <c r="F160" i="13"/>
  <c r="E161" i="13"/>
  <c r="F161" i="13"/>
  <c r="E162" i="13"/>
  <c r="F162" i="13"/>
  <c r="E163" i="13"/>
  <c r="F163" i="13"/>
  <c r="E164" i="13"/>
  <c r="F164" i="13"/>
  <c r="E165" i="13"/>
  <c r="F165" i="13"/>
  <c r="E166" i="13"/>
  <c r="F166" i="13"/>
  <c r="E167" i="13"/>
  <c r="F167" i="13"/>
  <c r="E168" i="13"/>
  <c r="F168" i="13"/>
  <c r="E169" i="13"/>
  <c r="F169" i="13"/>
  <c r="E170" i="13"/>
  <c r="F170" i="13"/>
  <c r="E171" i="13"/>
  <c r="F171" i="13"/>
  <c r="E172" i="13"/>
  <c r="F172" i="13"/>
  <c r="E173" i="13"/>
  <c r="F173" i="13"/>
  <c r="E174" i="13"/>
  <c r="F174" i="13"/>
  <c r="E175" i="13"/>
  <c r="F175" i="13"/>
  <c r="E176" i="13"/>
  <c r="F176" i="13"/>
  <c r="E177" i="13"/>
  <c r="F177" i="13"/>
  <c r="E178" i="13"/>
  <c r="F178" i="13"/>
  <c r="E179" i="13"/>
  <c r="F179" i="13"/>
  <c r="E180" i="13"/>
  <c r="F180" i="13"/>
  <c r="E181" i="13"/>
  <c r="F181" i="13"/>
  <c r="E182" i="13"/>
  <c r="F182" i="13"/>
  <c r="E183" i="13"/>
  <c r="F183" i="13"/>
  <c r="E184" i="13"/>
  <c r="F184" i="13"/>
  <c r="E185" i="13"/>
  <c r="F185" i="13"/>
  <c r="E186" i="13"/>
  <c r="F186" i="13"/>
  <c r="E187" i="13"/>
  <c r="F187" i="13"/>
  <c r="E188" i="13"/>
  <c r="F188" i="13"/>
  <c r="E189" i="13"/>
  <c r="F189" i="13"/>
  <c r="E190" i="13"/>
  <c r="F190" i="13"/>
  <c r="E191" i="13"/>
  <c r="F191" i="13"/>
  <c r="E192" i="13"/>
  <c r="F192" i="13"/>
  <c r="E193" i="13"/>
  <c r="F193" i="13"/>
  <c r="E194" i="13"/>
  <c r="F194" i="13"/>
  <c r="E195" i="13"/>
  <c r="F195" i="13"/>
  <c r="E196" i="13"/>
  <c r="F196" i="13"/>
  <c r="E197" i="13"/>
  <c r="F197" i="13"/>
  <c r="E198" i="13"/>
  <c r="F198" i="13"/>
  <c r="E199" i="13"/>
  <c r="F199" i="13"/>
  <c r="E200" i="13"/>
  <c r="F200" i="13"/>
  <c r="E201" i="13"/>
  <c r="F201" i="13"/>
  <c r="E202" i="13"/>
  <c r="F202" i="13"/>
  <c r="E203" i="13"/>
  <c r="F203" i="13"/>
  <c r="E204" i="13"/>
  <c r="F204" i="13"/>
  <c r="E205" i="13"/>
  <c r="F205" i="13"/>
  <c r="E206" i="13"/>
  <c r="F206" i="13"/>
  <c r="E207" i="13"/>
  <c r="F207" i="13"/>
  <c r="E208" i="13"/>
  <c r="F208" i="13"/>
  <c r="E209" i="13"/>
  <c r="F209" i="13"/>
  <c r="E210" i="13"/>
  <c r="F210" i="13"/>
  <c r="E211" i="13"/>
  <c r="F211" i="13"/>
  <c r="E212" i="13"/>
  <c r="F212" i="13"/>
  <c r="E213" i="13"/>
  <c r="F213" i="13"/>
  <c r="E214" i="13"/>
  <c r="F214" i="13"/>
  <c r="E215" i="13"/>
  <c r="F215" i="13"/>
  <c r="E216" i="13"/>
  <c r="F216" i="13"/>
  <c r="E217" i="13"/>
  <c r="F217" i="13"/>
  <c r="E218" i="13"/>
  <c r="F218" i="13"/>
  <c r="E219" i="13"/>
  <c r="F219" i="13"/>
  <c r="E220" i="13"/>
  <c r="F220" i="13"/>
  <c r="E221" i="13"/>
  <c r="F221" i="13"/>
  <c r="E222" i="13"/>
  <c r="F222" i="13"/>
  <c r="E223" i="13"/>
  <c r="F223" i="13"/>
  <c r="E224" i="13"/>
  <c r="F224" i="13"/>
  <c r="E225" i="13"/>
  <c r="F225" i="13"/>
  <c r="E226" i="13"/>
  <c r="F226" i="13"/>
  <c r="E227" i="13"/>
  <c r="F227" i="13"/>
  <c r="E228" i="13"/>
  <c r="F228" i="13"/>
  <c r="E229" i="13"/>
  <c r="F229" i="13"/>
  <c r="E230" i="13"/>
  <c r="F230" i="13"/>
  <c r="E231" i="13"/>
  <c r="F231" i="13"/>
  <c r="E232" i="13"/>
  <c r="F232" i="13"/>
  <c r="E233" i="13"/>
  <c r="F233" i="13"/>
  <c r="E234" i="13"/>
  <c r="F234" i="13"/>
  <c r="E235" i="13"/>
  <c r="F235" i="13"/>
  <c r="E236" i="13"/>
  <c r="F236" i="13"/>
  <c r="E237" i="13"/>
  <c r="F237" i="13"/>
  <c r="E238" i="13"/>
  <c r="F238" i="13"/>
  <c r="E239" i="13"/>
  <c r="F239" i="13"/>
  <c r="E240" i="13"/>
  <c r="F240" i="13"/>
  <c r="E241" i="13"/>
  <c r="F241" i="13"/>
  <c r="E242" i="13"/>
  <c r="F242" i="13"/>
  <c r="F3" i="13"/>
  <c r="E3" i="13"/>
  <c r="V1" i="13" s="1"/>
  <c r="X36" i="6" l="1" a="1"/>
  <c r="X39" i="6" a="1"/>
  <c r="X39" i="6" s="1"/>
  <c r="X31" i="6" a="1"/>
  <c r="X38" i="6" a="1"/>
  <c r="X38" i="6" s="1"/>
  <c r="X34" i="6" a="1"/>
  <c r="X30" i="6" a="1"/>
  <c r="X37" i="6" a="1"/>
  <c r="X37" i="6" s="1"/>
  <c r="X35" i="6" a="1"/>
  <c r="X33" i="6" a="1"/>
  <c r="X40" i="6" a="1"/>
  <c r="X40" i="6" s="1"/>
  <c r="X32" i="6" a="1"/>
  <c r="X41" i="6" a="1"/>
  <c r="X41" i="6" s="1"/>
  <c r="V7" i="13"/>
  <c r="V9" i="13"/>
  <c r="V11" i="13"/>
  <c r="V13" i="13"/>
  <c r="V5" i="13"/>
  <c r="V14" i="13"/>
  <c r="V6" i="13"/>
  <c r="V8" i="13"/>
  <c r="V10" i="13"/>
  <c r="V12" i="13"/>
  <c r="V4" i="13"/>
  <c r="AA1" i="13"/>
  <c r="AO1" i="13"/>
  <c r="AG1" i="13"/>
  <c r="Y1" i="13"/>
  <c r="Z1" i="13"/>
  <c r="AN1" i="13"/>
  <c r="AF1" i="13"/>
  <c r="X1" i="13"/>
  <c r="AM1" i="13"/>
  <c r="AE1" i="13"/>
  <c r="W1" i="13"/>
  <c r="W3" i="13" s="1"/>
  <c r="AH1" i="13"/>
  <c r="AL1" i="13"/>
  <c r="AD1" i="13"/>
  <c r="AK1" i="13"/>
  <c r="AC1" i="13"/>
  <c r="AJ1" i="13"/>
  <c r="AB1" i="13"/>
  <c r="AI1" i="13"/>
  <c r="X32" i="6" l="1"/>
  <c r="X31" i="6"/>
  <c r="X33" i="6"/>
  <c r="X36" i="6"/>
  <c r="X30" i="6"/>
  <c r="X34" i="6"/>
  <c r="X35" i="6"/>
  <c r="AH6" i="13"/>
  <c r="AH8" i="13"/>
  <c r="AH10" i="13"/>
  <c r="AH12" i="13"/>
  <c r="AH14" i="13"/>
  <c r="AH4" i="13"/>
  <c r="AH5" i="13"/>
  <c r="AH7" i="13"/>
  <c r="AH9" i="13"/>
  <c r="AH11" i="13"/>
  <c r="AH13" i="13"/>
  <c r="AH3" i="13"/>
  <c r="AG4" i="13"/>
  <c r="AG8" i="13"/>
  <c r="AG12" i="13"/>
  <c r="AG5" i="13"/>
  <c r="AG7" i="13"/>
  <c r="AG9" i="13"/>
  <c r="AG11" i="13"/>
  <c r="AG13" i="13"/>
  <c r="AG14" i="13"/>
  <c r="AG3" i="13"/>
  <c r="AG10" i="13"/>
  <c r="AG6" i="13"/>
  <c r="AI6" i="13"/>
  <c r="AI8" i="13"/>
  <c r="AI10" i="13"/>
  <c r="AI12" i="13"/>
  <c r="AI14" i="13"/>
  <c r="AI4" i="13"/>
  <c r="AI3" i="13"/>
  <c r="AI5" i="13"/>
  <c r="AI7" i="13"/>
  <c r="AI9" i="13"/>
  <c r="AI11" i="13"/>
  <c r="AI13" i="13"/>
  <c r="AE5" i="13"/>
  <c r="AE7" i="13"/>
  <c r="AE9" i="13"/>
  <c r="AE11" i="13"/>
  <c r="AE13" i="13"/>
  <c r="AE3" i="13"/>
  <c r="AE4" i="13"/>
  <c r="AE6" i="13"/>
  <c r="AE8" i="13"/>
  <c r="AE10" i="13"/>
  <c r="AE12" i="13"/>
  <c r="AE14" i="13"/>
  <c r="AO8" i="13"/>
  <c r="AO12" i="13"/>
  <c r="AO4" i="13"/>
  <c r="AO14" i="13"/>
  <c r="AO6" i="13"/>
  <c r="AO5" i="13"/>
  <c r="AO7" i="13"/>
  <c r="AO9" i="13"/>
  <c r="AO11" i="13"/>
  <c r="AO13" i="13"/>
  <c r="AO10" i="13"/>
  <c r="AO3" i="13"/>
  <c r="AM5" i="13"/>
  <c r="AM7" i="13"/>
  <c r="AM9" i="13"/>
  <c r="AM11" i="13"/>
  <c r="AM13" i="13"/>
  <c r="AM4" i="13"/>
  <c r="AM3" i="13"/>
  <c r="AM6" i="13"/>
  <c r="AM8" i="13"/>
  <c r="AM10" i="13"/>
  <c r="AM12" i="13"/>
  <c r="AM14" i="13"/>
  <c r="AA6" i="13"/>
  <c r="AA8" i="13"/>
  <c r="AA10" i="13"/>
  <c r="AA12" i="13"/>
  <c r="AA14" i="13"/>
  <c r="AA3" i="13"/>
  <c r="AA4" i="13"/>
  <c r="AA5" i="13"/>
  <c r="AA7" i="13"/>
  <c r="AA9" i="13"/>
  <c r="AA11" i="13"/>
  <c r="AA13" i="13"/>
  <c r="X4" i="13"/>
  <c r="X7" i="13"/>
  <c r="X9" i="13"/>
  <c r="X11" i="13"/>
  <c r="X13" i="13"/>
  <c r="X5" i="13"/>
  <c r="X3" i="13"/>
  <c r="X12" i="13"/>
  <c r="X14" i="13"/>
  <c r="X6" i="13"/>
  <c r="X8" i="13"/>
  <c r="X10" i="13"/>
  <c r="AJ3" i="13"/>
  <c r="AJ14" i="13"/>
  <c r="AJ6" i="13"/>
  <c r="AJ8" i="13"/>
  <c r="AJ10" i="13"/>
  <c r="AJ12" i="13"/>
  <c r="AJ4" i="13"/>
  <c r="AJ5" i="13"/>
  <c r="AJ7" i="13"/>
  <c r="AJ9" i="13"/>
  <c r="AJ11" i="13"/>
  <c r="AJ13" i="13"/>
  <c r="AK3" i="13"/>
  <c r="AK7" i="13"/>
  <c r="AK11" i="13"/>
  <c r="AK13" i="13"/>
  <c r="AK6" i="13"/>
  <c r="AK8" i="13"/>
  <c r="AK10" i="13"/>
  <c r="AK12" i="13"/>
  <c r="AK14" i="13"/>
  <c r="AK4" i="13"/>
  <c r="AK5" i="13"/>
  <c r="AK9" i="13"/>
  <c r="AF4" i="13"/>
  <c r="O5" i="6" s="1"/>
  <c r="AF5" i="13"/>
  <c r="AF7" i="13"/>
  <c r="AF9" i="13"/>
  <c r="AF11" i="13"/>
  <c r="AF13" i="13"/>
  <c r="AF14" i="13"/>
  <c r="AF3" i="13"/>
  <c r="AF6" i="13"/>
  <c r="AF8" i="13"/>
  <c r="AF10" i="13"/>
  <c r="AF12" i="13"/>
  <c r="W7" i="13"/>
  <c r="W9" i="13"/>
  <c r="W11" i="13"/>
  <c r="W13" i="13"/>
  <c r="W5" i="13"/>
  <c r="W6" i="13"/>
  <c r="W8" i="13"/>
  <c r="W10" i="13"/>
  <c r="W12" i="13"/>
  <c r="W14" i="13"/>
  <c r="W4" i="13"/>
  <c r="AC3" i="13"/>
  <c r="AC11" i="13"/>
  <c r="AC9" i="13"/>
  <c r="AC6" i="13"/>
  <c r="AC8" i="13"/>
  <c r="AC10" i="13"/>
  <c r="AC12" i="13"/>
  <c r="AC14" i="13"/>
  <c r="AC4" i="13"/>
  <c r="AC5" i="13"/>
  <c r="AC7" i="13"/>
  <c r="AC13" i="13"/>
  <c r="AN4" i="13"/>
  <c r="AN13" i="13"/>
  <c r="AN14" i="13"/>
  <c r="AN5" i="13"/>
  <c r="AN7" i="13"/>
  <c r="AN9" i="13"/>
  <c r="W10" i="6" s="1"/>
  <c r="AN11" i="13"/>
  <c r="AN3" i="13"/>
  <c r="W4" i="6" s="1"/>
  <c r="AN6" i="13"/>
  <c r="AN8" i="13"/>
  <c r="AN10" i="13"/>
  <c r="AN12" i="13"/>
  <c r="Y5" i="13"/>
  <c r="Y4" i="13"/>
  <c r="Y6" i="13"/>
  <c r="Y7" i="13"/>
  <c r="Y9" i="13"/>
  <c r="Y11" i="13"/>
  <c r="Y13" i="13"/>
  <c r="Y10" i="13"/>
  <c r="Y3" i="13"/>
  <c r="Y14" i="13"/>
  <c r="Y8" i="13"/>
  <c r="Y12" i="13"/>
  <c r="AB3" i="13"/>
  <c r="AB6" i="13"/>
  <c r="AB8" i="13"/>
  <c r="AB10" i="13"/>
  <c r="AB12" i="13"/>
  <c r="AB14" i="13"/>
  <c r="AB4" i="13"/>
  <c r="AB13" i="13"/>
  <c r="AB5" i="13"/>
  <c r="AB7" i="13"/>
  <c r="AB9" i="13"/>
  <c r="AB11" i="13"/>
  <c r="AD5" i="13"/>
  <c r="AD7" i="13"/>
  <c r="AD9" i="13"/>
  <c r="AD11" i="13"/>
  <c r="AD13" i="13"/>
  <c r="AD3" i="13"/>
  <c r="AD6" i="13"/>
  <c r="AD8" i="13"/>
  <c r="AD10" i="13"/>
  <c r="AD12" i="13"/>
  <c r="AD14" i="13"/>
  <c r="AD4" i="13"/>
  <c r="AL5" i="13"/>
  <c r="AL7" i="13"/>
  <c r="AL9" i="13"/>
  <c r="AL11" i="13"/>
  <c r="AL13" i="13"/>
  <c r="AL3" i="13"/>
  <c r="AL12" i="13"/>
  <c r="AL14" i="13"/>
  <c r="AL6" i="13"/>
  <c r="AL8" i="13"/>
  <c r="AL10" i="13"/>
  <c r="AL4" i="13"/>
  <c r="Z6" i="13"/>
  <c r="Z8" i="13"/>
  <c r="Z10" i="13"/>
  <c r="Z12" i="13"/>
  <c r="Z14" i="13"/>
  <c r="Z4" i="13"/>
  <c r="Z11" i="13"/>
  <c r="Z5" i="13"/>
  <c r="Z7" i="13"/>
  <c r="Z9" i="13"/>
  <c r="Z13" i="13"/>
  <c r="Z3" i="13"/>
  <c r="L5" i="6" l="1"/>
  <c r="P6" i="6"/>
  <c r="K12" i="6"/>
  <c r="K11" i="6"/>
  <c r="H11" i="6"/>
  <c r="L15" i="6"/>
  <c r="O15" i="6"/>
  <c r="G9" i="6"/>
  <c r="G50" i="6" s="1"/>
  <c r="G10" i="6"/>
  <c r="G51" i="6" s="1"/>
  <c r="J5" i="6"/>
  <c r="N13" i="6"/>
  <c r="N10" i="6"/>
  <c r="R4" i="6"/>
  <c r="R45" i="6" s="1"/>
  <c r="I7" i="6"/>
  <c r="I6" i="6"/>
  <c r="M9" i="6"/>
  <c r="I12" i="6"/>
  <c r="M7" i="6"/>
  <c r="K10" i="6"/>
  <c r="K9" i="6"/>
  <c r="H14" i="6"/>
  <c r="L13" i="6"/>
  <c r="O14" i="6"/>
  <c r="G7" i="6"/>
  <c r="G48" i="6" s="1"/>
  <c r="G8" i="6"/>
  <c r="G49" i="6" s="1"/>
  <c r="J4" i="6"/>
  <c r="N11" i="6"/>
  <c r="N8" i="6"/>
  <c r="P4" i="6"/>
  <c r="Q5" i="6"/>
  <c r="M11" i="6"/>
  <c r="H6" i="6"/>
  <c r="N12" i="6"/>
  <c r="M4" i="6"/>
  <c r="K8" i="6"/>
  <c r="K7" i="6"/>
  <c r="H12" i="6"/>
  <c r="L11" i="6"/>
  <c r="O12" i="6"/>
  <c r="G15" i="6"/>
  <c r="G56" i="6" s="1"/>
  <c r="J15" i="6"/>
  <c r="N9" i="6"/>
  <c r="N6" i="6"/>
  <c r="I8" i="6"/>
  <c r="K13" i="6"/>
  <c r="L4" i="6"/>
  <c r="M14" i="6"/>
  <c r="K6" i="6"/>
  <c r="K4" i="6"/>
  <c r="H10" i="6"/>
  <c r="L9" i="6"/>
  <c r="O13" i="6"/>
  <c r="O10" i="6"/>
  <c r="G13" i="6"/>
  <c r="G54" i="6" s="1"/>
  <c r="J14" i="6"/>
  <c r="J13" i="6"/>
  <c r="N7" i="6"/>
  <c r="H4" i="6"/>
  <c r="H45" i="6" s="1"/>
  <c r="J6" i="6"/>
  <c r="N15" i="6"/>
  <c r="I5" i="6"/>
  <c r="I46" i="6" s="1"/>
  <c r="M5" i="6"/>
  <c r="K14" i="6"/>
  <c r="H13" i="6"/>
  <c r="H8" i="6"/>
  <c r="L14" i="6"/>
  <c r="L7" i="6"/>
  <c r="O11" i="6"/>
  <c r="O8" i="6"/>
  <c r="J12" i="6"/>
  <c r="J11" i="6"/>
  <c r="N5" i="6"/>
  <c r="O4" i="6"/>
  <c r="G11" i="6"/>
  <c r="G52" i="6" s="1"/>
  <c r="I15" i="6"/>
  <c r="I13" i="6"/>
  <c r="M12" i="6"/>
  <c r="M15" i="6"/>
  <c r="M10" i="6"/>
  <c r="K5" i="6"/>
  <c r="H9" i="6"/>
  <c r="H7" i="6"/>
  <c r="L8" i="6"/>
  <c r="L10" i="6"/>
  <c r="O9" i="6"/>
  <c r="O6" i="6"/>
  <c r="G6" i="6"/>
  <c r="G47" i="6" s="1"/>
  <c r="J10" i="6"/>
  <c r="J9" i="6"/>
  <c r="N4" i="6"/>
  <c r="M6" i="6"/>
  <c r="G12" i="6"/>
  <c r="G53" i="6" s="1"/>
  <c r="I4" i="6"/>
  <c r="I45" i="6" s="1"/>
  <c r="I14" i="6"/>
  <c r="I11" i="6"/>
  <c r="I10" i="6"/>
  <c r="I9" i="6"/>
  <c r="M13" i="6"/>
  <c r="M8" i="6"/>
  <c r="K15" i="6"/>
  <c r="H15" i="6"/>
  <c r="H5" i="6"/>
  <c r="H46" i="6" s="1"/>
  <c r="L6" i="6"/>
  <c r="L12" i="6"/>
  <c r="O7" i="6"/>
  <c r="G14" i="6"/>
  <c r="G55" i="6" s="1"/>
  <c r="J8" i="6"/>
  <c r="J7" i="6"/>
  <c r="N14" i="6"/>
  <c r="R7" i="6"/>
  <c r="P8" i="6"/>
  <c r="Q7" i="6"/>
  <c r="Q48" i="6" s="1"/>
  <c r="G4" i="6"/>
  <c r="G45" i="6" s="1"/>
  <c r="G5" i="6"/>
  <c r="G46" i="6" s="1"/>
  <c r="W8" i="6"/>
  <c r="S5" i="6"/>
  <c r="U9" i="6"/>
  <c r="T13" i="6"/>
  <c r="V8" i="6"/>
  <c r="S11" i="6"/>
  <c r="S12" i="6"/>
  <c r="R11" i="6"/>
  <c r="R13" i="6"/>
  <c r="U5" i="6"/>
  <c r="V12" i="6"/>
  <c r="W15" i="6"/>
  <c r="T9" i="6"/>
  <c r="V4" i="6"/>
  <c r="S7" i="6"/>
  <c r="S8" i="6"/>
  <c r="Q14" i="6"/>
  <c r="R9" i="6"/>
  <c r="U12" i="6"/>
  <c r="W12" i="6"/>
  <c r="T11" i="6"/>
  <c r="Q11" i="6"/>
  <c r="W11" i="6"/>
  <c r="V14" i="6"/>
  <c r="S14" i="6"/>
  <c r="S4" i="6"/>
  <c r="Q10" i="6"/>
  <c r="R8" i="6"/>
  <c r="R5" i="6"/>
  <c r="U8" i="6"/>
  <c r="W6" i="6"/>
  <c r="S15" i="6"/>
  <c r="R15" i="6"/>
  <c r="T5" i="6"/>
  <c r="W13" i="6"/>
  <c r="W7" i="6"/>
  <c r="T7" i="6"/>
  <c r="T15" i="6"/>
  <c r="V10" i="6"/>
  <c r="V6" i="6"/>
  <c r="S10" i="6"/>
  <c r="Q12" i="6"/>
  <c r="Q6" i="6"/>
  <c r="R14" i="6"/>
  <c r="U14" i="6"/>
  <c r="U4" i="6"/>
  <c r="W14" i="6"/>
  <c r="T14" i="6"/>
  <c r="V13" i="6"/>
  <c r="S6" i="6"/>
  <c r="Q8" i="6"/>
  <c r="Q13" i="6"/>
  <c r="U10" i="6"/>
  <c r="U15" i="6"/>
  <c r="T6" i="6"/>
  <c r="W9" i="6"/>
  <c r="T12" i="6"/>
  <c r="V15" i="6"/>
  <c r="R10" i="6"/>
  <c r="W5" i="6"/>
  <c r="T10" i="6"/>
  <c r="T8" i="6"/>
  <c r="V9" i="6"/>
  <c r="V11" i="6"/>
  <c r="S13" i="6"/>
  <c r="Q4" i="6"/>
  <c r="Q9" i="6"/>
  <c r="R6" i="6"/>
  <c r="U6" i="6"/>
  <c r="U11" i="6"/>
  <c r="T4" i="6"/>
  <c r="V5" i="6"/>
  <c r="V7" i="6"/>
  <c r="S9" i="6"/>
  <c r="Q15" i="6"/>
  <c r="R12" i="6"/>
  <c r="U13" i="6"/>
  <c r="U7" i="6"/>
  <c r="P13" i="6"/>
  <c r="P7" i="6"/>
  <c r="P9" i="6"/>
  <c r="P14" i="6"/>
  <c r="P10" i="6"/>
  <c r="P5" i="6"/>
  <c r="P15" i="6"/>
  <c r="P12" i="6"/>
  <c r="P11" i="6"/>
  <c r="X4" i="6" l="1" a="1"/>
  <c r="W21" i="6"/>
  <c r="S56" i="6"/>
  <c r="T49" i="6"/>
  <c r="R56" i="6"/>
  <c r="P55" i="6"/>
  <c r="Q56" i="6"/>
  <c r="V53" i="6"/>
  <c r="U52" i="6"/>
  <c r="T51" i="6"/>
  <c r="S50" i="6"/>
  <c r="R49" i="6"/>
  <c r="W46" i="6"/>
  <c r="V45" i="6"/>
  <c r="P45" i="6"/>
  <c r="W52" i="6"/>
  <c r="R47" i="6"/>
  <c r="Q55" i="6"/>
  <c r="W53" i="6"/>
  <c r="S49" i="6"/>
  <c r="R48" i="6"/>
  <c r="Q47" i="6"/>
  <c r="W54" i="6"/>
  <c r="P46" i="6"/>
  <c r="R50" i="6"/>
  <c r="Q49" i="6"/>
  <c r="W47" i="6"/>
  <c r="V46" i="6"/>
  <c r="U45" i="6"/>
  <c r="U50" i="6"/>
  <c r="Q46" i="6"/>
  <c r="V52" i="6"/>
  <c r="P54" i="6"/>
  <c r="V54" i="6"/>
  <c r="U53" i="6"/>
  <c r="T52" i="6"/>
  <c r="V55" i="6"/>
  <c r="U54" i="6"/>
  <c r="T53" i="6"/>
  <c r="S52" i="6"/>
  <c r="R51" i="6"/>
  <c r="Q50" i="6"/>
  <c r="W48" i="6"/>
  <c r="V47" i="6"/>
  <c r="U46" i="6"/>
  <c r="T45" i="6"/>
  <c r="V51" i="6"/>
  <c r="S48" i="6"/>
  <c r="P56" i="6"/>
  <c r="U51" i="6"/>
  <c r="T50" i="6"/>
  <c r="W45" i="6"/>
  <c r="P47" i="6"/>
  <c r="W55" i="6"/>
  <c r="S51" i="6"/>
  <c r="P53" i="6"/>
  <c r="W56" i="6"/>
  <c r="P52" i="6"/>
  <c r="V56" i="6"/>
  <c r="U55" i="6"/>
  <c r="T54" i="6"/>
  <c r="S53" i="6"/>
  <c r="R52" i="6"/>
  <c r="Q51" i="6"/>
  <c r="W49" i="6"/>
  <c r="V48" i="6"/>
  <c r="U47" i="6"/>
  <c r="T46" i="6"/>
  <c r="S45" i="6"/>
  <c r="P51" i="6"/>
  <c r="U56" i="6"/>
  <c r="T55" i="6"/>
  <c r="S54" i="6"/>
  <c r="R53" i="6"/>
  <c r="Q52" i="6"/>
  <c r="W50" i="6"/>
  <c r="V49" i="6"/>
  <c r="U48" i="6"/>
  <c r="T47" i="6"/>
  <c r="S46" i="6"/>
  <c r="P49" i="6"/>
  <c r="R55" i="6"/>
  <c r="Q54" i="6"/>
  <c r="P48" i="6"/>
  <c r="P50" i="6"/>
  <c r="T56" i="6"/>
  <c r="S55" i="6"/>
  <c r="R54" i="6"/>
  <c r="Q53" i="6"/>
  <c r="W51" i="6"/>
  <c r="V50" i="6"/>
  <c r="U49" i="6"/>
  <c r="T48" i="6"/>
  <c r="S47" i="6"/>
  <c r="R46" i="6"/>
  <c r="Q45" i="6"/>
  <c r="AL45" i="6" l="1"/>
  <c r="AM45" i="6"/>
  <c r="X4" i="6"/>
  <c r="AK45" i="6"/>
  <c r="I51" i="6"/>
  <c r="H49" i="6"/>
  <c r="H53" i="6"/>
  <c r="H48" i="6"/>
  <c r="H47" i="6"/>
  <c r="K56" i="6"/>
  <c r="H56" i="6"/>
  <c r="H55" i="6"/>
  <c r="I4" i="2"/>
  <c r="I5" i="2" s="1"/>
  <c r="L52" i="6" l="1"/>
  <c r="M48" i="6"/>
  <c r="L54" i="6"/>
  <c r="M52" i="6"/>
  <c r="O50" i="6"/>
  <c r="O52" i="6"/>
  <c r="L50" i="6"/>
  <c r="L51" i="6"/>
  <c r="N55" i="6"/>
  <c r="O55" i="6"/>
  <c r="M55" i="6"/>
  <c r="L55" i="6"/>
  <c r="L47" i="6"/>
  <c r="M47" i="6"/>
  <c r="N47" i="6"/>
  <c r="O47" i="6"/>
  <c r="J52" i="6"/>
  <c r="J51" i="6"/>
  <c r="I53" i="6"/>
  <c r="L53" i="6"/>
  <c r="I55" i="6"/>
  <c r="K51" i="6"/>
  <c r="K45" i="6"/>
  <c r="I49" i="6"/>
  <c r="N50" i="6"/>
  <c r="I47" i="6"/>
  <c r="K47" i="6"/>
  <c r="J49" i="6"/>
  <c r="H50" i="6"/>
  <c r="J50" i="6"/>
  <c r="K48" i="6"/>
  <c r="N48" i="6"/>
  <c r="H51" i="6"/>
  <c r="H52" i="6"/>
  <c r="I52" i="6"/>
  <c r="J45" i="6"/>
  <c r="I56" i="6"/>
  <c r="I50" i="6"/>
  <c r="J48" i="6"/>
  <c r="J47" i="6"/>
  <c r="O53" i="6"/>
  <c r="J54" i="6"/>
  <c r="N53" i="6"/>
  <c r="L48" i="6"/>
  <c r="H54" i="6"/>
  <c r="J46" i="6"/>
  <c r="K46" i="6"/>
  <c r="J56" i="6"/>
  <c r="K49" i="6"/>
  <c r="I48" i="6"/>
  <c r="K55" i="6"/>
  <c r="K53" i="6"/>
  <c r="K50" i="6"/>
  <c r="I54" i="6"/>
  <c r="J55" i="6"/>
  <c r="K54" i="6"/>
  <c r="K52" i="6"/>
  <c r="J53" i="6"/>
  <c r="O48" i="6"/>
  <c r="O54" i="6"/>
  <c r="N46" i="6"/>
  <c r="N54" i="6"/>
  <c r="M54" i="6"/>
  <c r="L49" i="6"/>
  <c r="M49" i="6"/>
  <c r="J4" i="2"/>
  <c r="I12" i="2"/>
  <c r="I11" i="2"/>
  <c r="I9" i="2"/>
  <c r="I7" i="2"/>
  <c r="I6" i="2"/>
  <c r="N51" i="6"/>
  <c r="O51" i="6"/>
  <c r="N52" i="6"/>
  <c r="M50" i="6"/>
  <c r="M53" i="6"/>
  <c r="I10" i="2"/>
  <c r="J12" i="2"/>
  <c r="J8" i="2"/>
  <c r="I8" i="2"/>
  <c r="J11" i="2"/>
  <c r="J7" i="2"/>
  <c r="J10" i="2"/>
  <c r="J6" i="2"/>
  <c r="I13" i="2"/>
  <c r="J9" i="2"/>
  <c r="J5" i="2"/>
  <c r="D7" i="8"/>
  <c r="D6" i="8"/>
  <c r="D5" i="8"/>
  <c r="D4" i="8"/>
  <c r="M51" i="6" l="1"/>
  <c r="M45" i="6"/>
  <c r="O45" i="6"/>
  <c r="N45" i="6"/>
  <c r="L45" i="6"/>
  <c r="O49" i="6"/>
  <c r="N49" i="6"/>
  <c r="M56" i="6"/>
  <c r="L56" i="6"/>
  <c r="O56" i="6"/>
  <c r="N56" i="6"/>
  <c r="L46" i="6"/>
  <c r="M46" i="6"/>
  <c r="O46" i="6"/>
  <c r="K4" i="2"/>
  <c r="K5" i="2" s="1"/>
  <c r="J13" i="2"/>
  <c r="S6" i="8"/>
  <c r="S5" i="8"/>
  <c r="L4" i="2" l="1"/>
  <c r="K12" i="2"/>
  <c r="K8" i="2"/>
  <c r="K10" i="2"/>
  <c r="K6" i="2"/>
  <c r="K11" i="2"/>
  <c r="K13" i="2"/>
  <c r="K9" i="2"/>
  <c r="K7" i="2"/>
  <c r="AF18" i="5"/>
  <c r="AG32" i="3" s="1"/>
  <c r="AF19" i="5"/>
  <c r="C35" i="2"/>
  <c r="C41" i="2" s="1"/>
  <c r="C45" i="2" l="1"/>
  <c r="C46" i="2"/>
  <c r="M4" i="2"/>
  <c r="L11" i="2"/>
  <c r="L8" i="2"/>
  <c r="L5" i="2"/>
  <c r="L12" i="2"/>
  <c r="L10" i="2"/>
  <c r="L13" i="2"/>
  <c r="L9" i="2"/>
  <c r="L7" i="2"/>
  <c r="L6" i="2"/>
  <c r="N4" i="2" l="1"/>
  <c r="M7" i="2"/>
  <c r="M11" i="2"/>
  <c r="M9" i="2"/>
  <c r="M6" i="2"/>
  <c r="M8" i="2"/>
  <c r="M13" i="2"/>
  <c r="M5" i="2"/>
  <c r="M10" i="2"/>
  <c r="M12" i="2"/>
  <c r="G17" i="5"/>
  <c r="G20" i="5" s="1"/>
  <c r="H35" i="3" l="1"/>
  <c r="H34" i="3"/>
  <c r="H33" i="3"/>
  <c r="G18" i="5"/>
  <c r="H32" i="3" s="1"/>
  <c r="G19" i="5"/>
  <c r="O4" i="2"/>
  <c r="N8" i="2"/>
  <c r="N11" i="2"/>
  <c r="N13" i="2"/>
  <c r="N5" i="2"/>
  <c r="N9" i="2"/>
  <c r="N6" i="2"/>
  <c r="N10" i="2"/>
  <c r="N7" i="2"/>
  <c r="N12" i="2"/>
  <c r="P4" i="2" l="1"/>
  <c r="O10" i="2"/>
  <c r="O6" i="2"/>
  <c r="O5" i="2"/>
  <c r="O9" i="2"/>
  <c r="O11" i="2"/>
  <c r="O13" i="2"/>
  <c r="O8" i="2"/>
  <c r="O7" i="2"/>
  <c r="O12" i="2"/>
  <c r="Q4" i="2" l="1"/>
  <c r="P8" i="2"/>
  <c r="P13" i="2"/>
  <c r="P5" i="2"/>
  <c r="P10" i="2"/>
  <c r="P7" i="2"/>
  <c r="P11" i="2"/>
  <c r="P12" i="2"/>
  <c r="P6" i="2"/>
  <c r="P9" i="2"/>
  <c r="D30" i="3"/>
  <c r="E4" i="5"/>
  <c r="D35" i="2"/>
  <c r="D36" i="2" s="1"/>
  <c r="E35" i="2"/>
  <c r="E36" i="2" s="1"/>
  <c r="F35" i="2"/>
  <c r="F36" i="2" s="1"/>
  <c r="G35" i="2"/>
  <c r="G36" i="2" s="1"/>
  <c r="H35" i="2"/>
  <c r="H41" i="2" s="1"/>
  <c r="I35" i="2"/>
  <c r="I41" i="2" s="1"/>
  <c r="J35" i="2"/>
  <c r="J36" i="2" s="1"/>
  <c r="K35" i="2"/>
  <c r="K36" i="2" s="1"/>
  <c r="C36" i="2"/>
  <c r="C39" i="2"/>
  <c r="D39" i="2"/>
  <c r="E39" i="2"/>
  <c r="F39" i="2"/>
  <c r="G39" i="2"/>
  <c r="H39" i="2"/>
  <c r="I39" i="2"/>
  <c r="J39" i="2"/>
  <c r="K39" i="2"/>
  <c r="C56" i="2"/>
  <c r="E41" i="2"/>
  <c r="E46" i="2" s="1"/>
  <c r="D40" i="3" l="1"/>
  <c r="H60" i="6"/>
  <c r="H58" i="6" s="1"/>
  <c r="K41" i="2"/>
  <c r="K55" i="2" s="1"/>
  <c r="G41" i="2"/>
  <c r="G45" i="2" s="1"/>
  <c r="R4" i="2"/>
  <c r="Q13" i="2"/>
  <c r="Q9" i="2"/>
  <c r="Q12" i="2"/>
  <c r="Q10" i="2"/>
  <c r="Q11" i="2"/>
  <c r="Q6" i="2"/>
  <c r="Q8" i="2"/>
  <c r="Q5" i="2"/>
  <c r="Q7" i="2"/>
  <c r="F42" i="2"/>
  <c r="F53" i="2" s="1"/>
  <c r="K47" i="2"/>
  <c r="I36" i="2"/>
  <c r="I42" i="2" s="1"/>
  <c r="K46" i="2"/>
  <c r="E45" i="2"/>
  <c r="D42" i="2"/>
  <c r="D53" i="2" s="1"/>
  <c r="C47" i="2"/>
  <c r="F41" i="2"/>
  <c r="F45" i="2" s="1"/>
  <c r="C42" i="2"/>
  <c r="C48" i="2" s="1"/>
  <c r="K42" i="2"/>
  <c r="K52" i="2" s="1"/>
  <c r="C55" i="2"/>
  <c r="D41" i="2"/>
  <c r="D47" i="2" s="1"/>
  <c r="K56" i="2"/>
  <c r="K45" i="2"/>
  <c r="H36" i="2"/>
  <c r="H42" i="2" s="1"/>
  <c r="G42" i="2"/>
  <c r="G51" i="2" s="1"/>
  <c r="E42" i="2"/>
  <c r="E53" i="2" s="1"/>
  <c r="J42" i="2"/>
  <c r="I47" i="2"/>
  <c r="I46" i="2"/>
  <c r="I45" i="2"/>
  <c r="I55" i="2"/>
  <c r="I56" i="2"/>
  <c r="H56" i="2"/>
  <c r="H45" i="2"/>
  <c r="H55" i="2"/>
  <c r="H46" i="2"/>
  <c r="H47" i="2"/>
  <c r="G56" i="2"/>
  <c r="G55" i="2"/>
  <c r="G47" i="2"/>
  <c r="E56" i="2"/>
  <c r="G46" i="2"/>
  <c r="J41" i="2"/>
  <c r="E55" i="2"/>
  <c r="E47" i="2"/>
  <c r="D55" i="2"/>
  <c r="AM61" i="6" l="1"/>
  <c r="AL61" i="6"/>
  <c r="D56" i="2"/>
  <c r="E51" i="2"/>
  <c r="E49" i="2"/>
  <c r="E48" i="2"/>
  <c r="G65" i="6"/>
  <c r="G69" i="6"/>
  <c r="G66" i="6"/>
  <c r="G63" i="6"/>
  <c r="G70" i="6"/>
  <c r="G72" i="6"/>
  <c r="G64" i="6"/>
  <c r="G68" i="6"/>
  <c r="G61" i="6"/>
  <c r="G62" i="6"/>
  <c r="G67" i="6"/>
  <c r="G71" i="6"/>
  <c r="H61" i="6"/>
  <c r="H63" i="6"/>
  <c r="J61" i="6"/>
  <c r="I63" i="6"/>
  <c r="F52" i="2"/>
  <c r="F48" i="2"/>
  <c r="F54" i="2"/>
  <c r="F51" i="2"/>
  <c r="D52" i="2"/>
  <c r="E52" i="2"/>
  <c r="D51" i="2"/>
  <c r="I60" i="6"/>
  <c r="J60" i="6" s="1"/>
  <c r="K60" i="6" s="1"/>
  <c r="L60" i="6" s="1"/>
  <c r="M60" i="6" s="1"/>
  <c r="N60" i="6" s="1"/>
  <c r="O60" i="6" s="1"/>
  <c r="P60" i="6" s="1"/>
  <c r="Q60" i="6" s="1"/>
  <c r="R60" i="6" s="1"/>
  <c r="S60" i="6" s="1"/>
  <c r="T60" i="6" s="1"/>
  <c r="U60" i="6" s="1"/>
  <c r="V60" i="6" s="1"/>
  <c r="W60" i="6" s="1"/>
  <c r="X60" i="6" s="1"/>
  <c r="Y60" i="6" s="1"/>
  <c r="Z60" i="6" s="1"/>
  <c r="AA60" i="6" s="1"/>
  <c r="AB60" i="6" s="1"/>
  <c r="AC60" i="6" s="1"/>
  <c r="AD60" i="6" s="1"/>
  <c r="AE60" i="6" s="1"/>
  <c r="AF60" i="6" s="1"/>
  <c r="AG60" i="6" s="1"/>
  <c r="AH60" i="6" s="1"/>
  <c r="AI60" i="6" s="1"/>
  <c r="AJ60" i="6" s="1"/>
  <c r="AK60" i="6" s="1"/>
  <c r="G60" i="6"/>
  <c r="K51" i="2"/>
  <c r="C50" i="2"/>
  <c r="F49" i="2"/>
  <c r="E50" i="2"/>
  <c r="D50" i="2"/>
  <c r="K53" i="2"/>
  <c r="S4" i="2"/>
  <c r="R13" i="2"/>
  <c r="R8" i="2"/>
  <c r="R5" i="2"/>
  <c r="R9" i="2"/>
  <c r="R10" i="2"/>
  <c r="R7" i="2"/>
  <c r="R6" i="2"/>
  <c r="R12" i="2"/>
  <c r="R11" i="2"/>
  <c r="C49" i="2"/>
  <c r="K54" i="2"/>
  <c r="K50" i="2"/>
  <c r="K48" i="2"/>
  <c r="K49" i="2"/>
  <c r="F55" i="2"/>
  <c r="F50" i="2"/>
  <c r="E54" i="2"/>
  <c r="H49" i="2"/>
  <c r="H51" i="2"/>
  <c r="I51" i="2"/>
  <c r="I54" i="2"/>
  <c r="I53" i="2"/>
  <c r="I48" i="2"/>
  <c r="I52" i="2"/>
  <c r="I50" i="2"/>
  <c r="I49" i="2"/>
  <c r="G48" i="2"/>
  <c r="G54" i="2"/>
  <c r="D54" i="2"/>
  <c r="D49" i="2"/>
  <c r="D48" i="2"/>
  <c r="F46" i="2"/>
  <c r="F56" i="2"/>
  <c r="D45" i="2"/>
  <c r="C51" i="2"/>
  <c r="C54" i="2"/>
  <c r="C53" i="2"/>
  <c r="F47" i="2"/>
  <c r="H48" i="2"/>
  <c r="D46" i="2"/>
  <c r="C52" i="2"/>
  <c r="H54" i="2"/>
  <c r="G50" i="2"/>
  <c r="H53" i="2"/>
  <c r="G49" i="2"/>
  <c r="H52" i="2"/>
  <c r="G53" i="2"/>
  <c r="G52" i="2"/>
  <c r="H50" i="2"/>
  <c r="J49" i="2"/>
  <c r="J50" i="2"/>
  <c r="J51" i="2"/>
  <c r="J53" i="2"/>
  <c r="J54" i="2"/>
  <c r="J52" i="2"/>
  <c r="J48" i="2"/>
  <c r="J55" i="2"/>
  <c r="J56" i="2"/>
  <c r="J45" i="2"/>
  <c r="J46" i="2"/>
  <c r="J47" i="2"/>
  <c r="T4" i="2" l="1"/>
  <c r="S12" i="2"/>
  <c r="S8" i="2"/>
  <c r="S6" i="2"/>
  <c r="S5" i="2"/>
  <c r="S11" i="2"/>
  <c r="S13" i="2"/>
  <c r="S9" i="2"/>
  <c r="S10" i="2"/>
  <c r="S7" i="2"/>
  <c r="U4" i="2" l="1"/>
  <c r="T5" i="2"/>
  <c r="T10" i="2"/>
  <c r="T8" i="2"/>
  <c r="T7" i="2"/>
  <c r="T12" i="2"/>
  <c r="T6" i="2"/>
  <c r="T11" i="2"/>
  <c r="T9" i="2"/>
  <c r="T13" i="2"/>
  <c r="U63" i="6"/>
  <c r="P63" i="6"/>
  <c r="T68" i="6"/>
  <c r="V71" i="6"/>
  <c r="R69" i="6"/>
  <c r="S67" i="6"/>
  <c r="U62" i="6"/>
  <c r="W67" i="6"/>
  <c r="W71" i="6"/>
  <c r="Q64" i="6"/>
  <c r="V62" i="6"/>
  <c r="T61" i="6"/>
  <c r="S72" i="6"/>
  <c r="U69" i="6"/>
  <c r="S66" i="6"/>
  <c r="P71" i="6"/>
  <c r="V67" i="6"/>
  <c r="V61" i="6"/>
  <c r="U72" i="6"/>
  <c r="W64" i="6"/>
  <c r="P61" i="6"/>
  <c r="U70" i="6"/>
  <c r="P72" i="6"/>
  <c r="W68" i="6"/>
  <c r="R64" i="6"/>
  <c r="P68" i="6"/>
  <c r="Q71" i="6"/>
  <c r="S68" i="6"/>
  <c r="P66" i="6"/>
  <c r="T66" i="6"/>
  <c r="R62" i="6"/>
  <c r="P62" i="6"/>
  <c r="R67" i="6"/>
  <c r="R65" i="6"/>
  <c r="Q66" i="6"/>
  <c r="V70" i="6"/>
  <c r="R61" i="6"/>
  <c r="U66" i="6"/>
  <c r="U71" i="6"/>
  <c r="V72" i="6"/>
  <c r="W72" i="6"/>
  <c r="R72" i="6"/>
  <c r="S63" i="6"/>
  <c r="P65" i="6"/>
  <c r="Q70" i="6"/>
  <c r="Q69" i="6"/>
  <c r="V68" i="6"/>
  <c r="V65" i="6"/>
  <c r="T65" i="6"/>
  <c r="S65" i="6"/>
  <c r="V66" i="6"/>
  <c r="V64" i="6"/>
  <c r="W66" i="6"/>
  <c r="V63" i="6"/>
  <c r="W65" i="6"/>
  <c r="T67" i="6"/>
  <c r="R66" i="6"/>
  <c r="S62" i="6"/>
  <c r="W63" i="6"/>
  <c r="T71" i="6"/>
  <c r="T64" i="6"/>
  <c r="V69" i="6"/>
  <c r="T72" i="6"/>
  <c r="T70" i="6"/>
  <c r="T69" i="6"/>
  <c r="U65" i="6"/>
  <c r="W70" i="6"/>
  <c r="T63" i="6"/>
  <c r="Q62" i="6"/>
  <c r="Q68" i="6"/>
  <c r="W62" i="6"/>
  <c r="Q63" i="6"/>
  <c r="R70" i="6"/>
  <c r="P64" i="6"/>
  <c r="S61" i="6"/>
  <c r="S64" i="6"/>
  <c r="T62" i="6"/>
  <c r="P70" i="6"/>
  <c r="P69" i="6"/>
  <c r="S71" i="6"/>
  <c r="W69" i="6"/>
  <c r="W61" i="6"/>
  <c r="I61" i="6"/>
  <c r="U68" i="6"/>
  <c r="Q61" i="6"/>
  <c r="R71" i="6"/>
  <c r="P67" i="6"/>
  <c r="Q67" i="6"/>
  <c r="U61" i="6"/>
  <c r="R68" i="6"/>
  <c r="Q65" i="6"/>
  <c r="U67" i="6"/>
  <c r="U64" i="6"/>
  <c r="Q72" i="6"/>
  <c r="S69" i="6"/>
  <c r="R63" i="6"/>
  <c r="S70" i="6"/>
  <c r="H69" i="6"/>
  <c r="H67" i="6"/>
  <c r="J64" i="6"/>
  <c r="L69" i="6"/>
  <c r="I66" i="6"/>
  <c r="L64" i="6"/>
  <c r="K68" i="6"/>
  <c r="J71" i="6"/>
  <c r="J63" i="6"/>
  <c r="J72" i="6"/>
  <c r="J68" i="6"/>
  <c r="J65" i="6"/>
  <c r="I64" i="6"/>
  <c r="I62" i="6"/>
  <c r="J69" i="6"/>
  <c r="K67" i="6"/>
  <c r="H64" i="6"/>
  <c r="H62" i="6"/>
  <c r="K69" i="6"/>
  <c r="L70" i="6"/>
  <c r="J70" i="6"/>
  <c r="I71" i="6"/>
  <c r="K63" i="6"/>
  <c r="L62" i="6"/>
  <c r="L66" i="6"/>
  <c r="H71" i="6"/>
  <c r="H66" i="6"/>
  <c r="H68" i="6"/>
  <c r="I69" i="6"/>
  <c r="K66" i="6"/>
  <c r="I65" i="6"/>
  <c r="J67" i="6"/>
  <c r="L72" i="6"/>
  <c r="K64" i="6"/>
  <c r="L63" i="6"/>
  <c r="J66" i="6"/>
  <c r="L68" i="6"/>
  <c r="H65" i="6"/>
  <c r="K62" i="6"/>
  <c r="I70" i="6"/>
  <c r="K71" i="6"/>
  <c r="L67" i="6"/>
  <c r="K72" i="6"/>
  <c r="I72" i="6"/>
  <c r="K65" i="6"/>
  <c r="I67" i="6"/>
  <c r="H72" i="6"/>
  <c r="I68" i="6"/>
  <c r="J62" i="6"/>
  <c r="K70" i="6"/>
  <c r="L71" i="6"/>
  <c r="K61" i="6"/>
  <c r="H70" i="6"/>
  <c r="L65" i="6"/>
  <c r="L61" i="6"/>
  <c r="M68" i="6"/>
  <c r="M72" i="6"/>
  <c r="N63" i="6"/>
  <c r="N66" i="6"/>
  <c r="O63" i="6"/>
  <c r="M61" i="6"/>
  <c r="O67" i="6"/>
  <c r="N65" i="6"/>
  <c r="M66" i="6"/>
  <c r="O71" i="6"/>
  <c r="M64" i="6"/>
  <c r="M62" i="6"/>
  <c r="O68" i="6"/>
  <c r="O66" i="6"/>
  <c r="N68" i="6"/>
  <c r="O65" i="6"/>
  <c r="O72" i="6"/>
  <c r="N61" i="6"/>
  <c r="O69" i="6"/>
  <c r="O70" i="6"/>
  <c r="N72" i="6"/>
  <c r="M67" i="6"/>
  <c r="M70" i="6"/>
  <c r="M71" i="6"/>
  <c r="O62" i="6"/>
  <c r="M65" i="6"/>
  <c r="N70" i="6"/>
  <c r="N69" i="6"/>
  <c r="N67" i="6"/>
  <c r="O61" i="6"/>
  <c r="M69" i="6"/>
  <c r="M63" i="6"/>
  <c r="O64" i="6"/>
  <c r="N62" i="6"/>
  <c r="N64" i="6"/>
  <c r="N71" i="6"/>
  <c r="X15" i="6" a="1"/>
  <c r="X14" i="6" a="1"/>
  <c r="X5" i="6" a="1"/>
  <c r="X13" i="6" a="1"/>
  <c r="X8" i="6" a="1"/>
  <c r="X6" i="6" a="1"/>
  <c r="X10" i="6" a="1"/>
  <c r="X7" i="6" a="1"/>
  <c r="X11" i="6" a="1"/>
  <c r="X12" i="6" a="1"/>
  <c r="X9" i="6" a="1"/>
  <c r="AL50" i="6" l="1"/>
  <c r="AL66" i="6" s="1"/>
  <c r="AM50" i="6"/>
  <c r="AM66" i="6" s="1"/>
  <c r="AL53" i="6"/>
  <c r="AL69" i="6" s="1"/>
  <c r="AM53" i="6"/>
  <c r="AM69" i="6" s="1"/>
  <c r="AL52" i="6"/>
  <c r="AL68" i="6" s="1"/>
  <c r="AM52" i="6"/>
  <c r="AM68" i="6" s="1"/>
  <c r="AL48" i="6"/>
  <c r="AL64" i="6" s="1"/>
  <c r="AM48" i="6"/>
  <c r="AM64" i="6" s="1"/>
  <c r="AL51" i="6"/>
  <c r="AL67" i="6" s="1"/>
  <c r="AM51" i="6"/>
  <c r="AM67" i="6" s="1"/>
  <c r="AL47" i="6"/>
  <c r="AL63" i="6" s="1"/>
  <c r="AM47" i="6"/>
  <c r="AM63" i="6" s="1"/>
  <c r="AL49" i="6"/>
  <c r="AL65" i="6" s="1"/>
  <c r="AM49" i="6"/>
  <c r="AM65" i="6" s="1"/>
  <c r="AL54" i="6"/>
  <c r="AL70" i="6" s="1"/>
  <c r="AM54" i="6"/>
  <c r="AM70" i="6" s="1"/>
  <c r="AL46" i="6"/>
  <c r="AL62" i="6" s="1"/>
  <c r="AM46" i="6"/>
  <c r="AM62" i="6" s="1"/>
  <c r="AL55" i="6"/>
  <c r="AL71" i="6" s="1"/>
  <c r="AM55" i="6"/>
  <c r="AM71" i="6" s="1"/>
  <c r="AM56" i="6"/>
  <c r="AM72" i="6" s="1"/>
  <c r="AL56" i="6"/>
  <c r="AL72" i="6" s="1"/>
  <c r="V4" i="2"/>
  <c r="U7" i="2"/>
  <c r="U11" i="2"/>
  <c r="U6" i="2"/>
  <c r="U8" i="2"/>
  <c r="U12" i="2"/>
  <c r="U9" i="2"/>
  <c r="U13" i="2"/>
  <c r="U5" i="2"/>
  <c r="U10" i="2"/>
  <c r="X9" i="6"/>
  <c r="X50" i="6" s="1"/>
  <c r="X12" i="6"/>
  <c r="X53" i="6" s="1"/>
  <c r="X14" i="6"/>
  <c r="X55" i="6" s="1"/>
  <c r="X11" i="6"/>
  <c r="X52" i="6" s="1"/>
  <c r="X45" i="6"/>
  <c r="X7" i="6"/>
  <c r="X48" i="6" s="1"/>
  <c r="X15" i="6"/>
  <c r="X56" i="6" s="1"/>
  <c r="X5" i="6"/>
  <c r="X46" i="6" s="1"/>
  <c r="X10" i="6"/>
  <c r="X51" i="6" s="1"/>
  <c r="X6" i="6"/>
  <c r="X47" i="6" s="1"/>
  <c r="X8" i="6"/>
  <c r="X49" i="6" s="1"/>
  <c r="X13" i="6"/>
  <c r="X54" i="6" s="1"/>
  <c r="H17" i="5"/>
  <c r="H20" i="5" l="1"/>
  <c r="W4" i="2"/>
  <c r="V13" i="2"/>
  <c r="V5" i="2"/>
  <c r="V11" i="2"/>
  <c r="V8" i="2"/>
  <c r="V10" i="2"/>
  <c r="V7" i="2"/>
  <c r="V9" i="2"/>
  <c r="V12" i="2"/>
  <c r="V6" i="2"/>
  <c r="X65" i="6"/>
  <c r="X71" i="6"/>
  <c r="X70" i="6"/>
  <c r="X68" i="6"/>
  <c r="X63" i="6"/>
  <c r="X61" i="6"/>
  <c r="X72" i="6"/>
  <c r="X62" i="6"/>
  <c r="X69" i="6"/>
  <c r="X64" i="6"/>
  <c r="X67" i="6"/>
  <c r="X66" i="6"/>
  <c r="I17" i="5"/>
  <c r="H18" i="5"/>
  <c r="I32" i="3" s="1"/>
  <c r="H19" i="5"/>
  <c r="I34" i="3" l="1"/>
  <c r="I35" i="3"/>
  <c r="I33" i="3"/>
  <c r="I20" i="5"/>
  <c r="J17" i="5"/>
  <c r="J18" i="5" s="1"/>
  <c r="K32" i="3" s="1"/>
  <c r="X4" i="2"/>
  <c r="W10" i="2"/>
  <c r="W6" i="2"/>
  <c r="W9" i="2"/>
  <c r="W11" i="2"/>
  <c r="W8" i="2"/>
  <c r="W13" i="2"/>
  <c r="W5" i="2"/>
  <c r="W7" i="2"/>
  <c r="W12" i="2"/>
  <c r="I18" i="5"/>
  <c r="J32" i="3" s="1"/>
  <c r="I19" i="5"/>
  <c r="J33" i="3" l="1"/>
  <c r="J35" i="3"/>
  <c r="J34" i="3"/>
  <c r="K17" i="5"/>
  <c r="J19" i="5"/>
  <c r="K20" i="5"/>
  <c r="J20" i="5"/>
  <c r="Y4" i="2"/>
  <c r="X11" i="2"/>
  <c r="X13" i="2"/>
  <c r="X5" i="2"/>
  <c r="X10" i="2"/>
  <c r="X9" i="2"/>
  <c r="X6" i="2"/>
  <c r="X8" i="2"/>
  <c r="X7" i="2"/>
  <c r="X12" i="2"/>
  <c r="K18" i="5"/>
  <c r="L32" i="3" s="1"/>
  <c r="K19" i="5"/>
  <c r="L17" i="5"/>
  <c r="L34" i="3" l="1"/>
  <c r="L33" i="3"/>
  <c r="L35" i="3"/>
  <c r="K33" i="3"/>
  <c r="K35" i="3"/>
  <c r="K34" i="3"/>
  <c r="L20" i="5"/>
  <c r="Z4" i="2"/>
  <c r="Y13" i="2"/>
  <c r="Y9" i="2"/>
  <c r="Y12" i="2"/>
  <c r="Y11" i="2"/>
  <c r="Y7" i="2"/>
  <c r="Y6" i="2"/>
  <c r="Y8" i="2"/>
  <c r="Y10" i="2"/>
  <c r="Y5" i="2"/>
  <c r="L18" i="5"/>
  <c r="M32" i="3" s="1"/>
  <c r="L19" i="5"/>
  <c r="M17" i="5"/>
  <c r="E30" i="3"/>
  <c r="F30" i="3" s="1"/>
  <c r="C20" i="3"/>
  <c r="C21" i="3"/>
  <c r="I11" i="8"/>
  <c r="E9" i="5"/>
  <c r="E7" i="5"/>
  <c r="E8" i="5"/>
  <c r="E10" i="5"/>
  <c r="E11" i="5"/>
  <c r="E12" i="5"/>
  <c r="E6" i="5"/>
  <c r="C18" i="3" s="1"/>
  <c r="J7" i="3"/>
  <c r="J9" i="3" s="1"/>
  <c r="B25" i="4"/>
  <c r="B24" i="4"/>
  <c r="B23" i="4"/>
  <c r="M34" i="3" l="1"/>
  <c r="M33" i="3"/>
  <c r="M35" i="3"/>
  <c r="M20" i="5"/>
  <c r="AA4" i="2"/>
  <c r="Z13" i="2"/>
  <c r="Z7" i="2"/>
  <c r="Z12" i="2"/>
  <c r="Z9" i="2"/>
  <c r="Z6" i="2"/>
  <c r="Z11" i="2"/>
  <c r="Z8" i="2"/>
  <c r="Z10" i="2"/>
  <c r="Z5" i="2"/>
  <c r="M18" i="5"/>
  <c r="N32" i="3" s="1"/>
  <c r="M19" i="5"/>
  <c r="E40" i="3"/>
  <c r="J11" i="8" s="1"/>
  <c r="N17" i="5"/>
  <c r="F40" i="3"/>
  <c r="K11" i="8" s="1"/>
  <c r="G30" i="3"/>
  <c r="N35" i="3" l="1"/>
  <c r="N34" i="3"/>
  <c r="N33" i="3"/>
  <c r="N20" i="5"/>
  <c r="AB4" i="2"/>
  <c r="AA12" i="2"/>
  <c r="AA8" i="2"/>
  <c r="AA5" i="2"/>
  <c r="AA11" i="2"/>
  <c r="AA13" i="2"/>
  <c r="AA7" i="2"/>
  <c r="AA10" i="2"/>
  <c r="AA9" i="2"/>
  <c r="AA6" i="2"/>
  <c r="N18" i="5"/>
  <c r="O32" i="3" s="1"/>
  <c r="N19" i="5"/>
  <c r="O17" i="5"/>
  <c r="H30" i="3"/>
  <c r="G40" i="3"/>
  <c r="L11" i="8" s="1"/>
  <c r="O35" i="3" l="1"/>
  <c r="O34" i="3"/>
  <c r="O33" i="3"/>
  <c r="O20" i="5"/>
  <c r="AC4" i="2"/>
  <c r="AB12" i="2"/>
  <c r="AB10" i="2"/>
  <c r="AB5" i="2"/>
  <c r="AB7" i="2"/>
  <c r="AB13" i="2"/>
  <c r="AB9" i="2"/>
  <c r="AB8" i="2"/>
  <c r="AB6" i="2"/>
  <c r="AB11" i="2"/>
  <c r="O18" i="5"/>
  <c r="P32" i="3" s="1"/>
  <c r="O19" i="5"/>
  <c r="P17" i="5"/>
  <c r="I30" i="3"/>
  <c r="H40" i="3"/>
  <c r="M11" i="8" s="1"/>
  <c r="G17" i="3" a="1"/>
  <c r="P35" i="3" l="1"/>
  <c r="P34" i="3"/>
  <c r="P33" i="3"/>
  <c r="P20" i="5"/>
  <c r="AD4" i="2"/>
  <c r="AC7" i="2"/>
  <c r="AC11" i="2"/>
  <c r="AC6" i="2"/>
  <c r="AC8" i="2"/>
  <c r="AC13" i="2"/>
  <c r="AC5" i="2"/>
  <c r="AC9" i="2"/>
  <c r="AC10" i="2"/>
  <c r="AC12" i="2"/>
  <c r="P18" i="5"/>
  <c r="Q32" i="3" s="1"/>
  <c r="P19" i="5"/>
  <c r="Q17" i="5"/>
  <c r="G17" i="3"/>
  <c r="AI41" i="3" s="1"/>
  <c r="G21" i="3"/>
  <c r="G25" i="3"/>
  <c r="G18" i="3"/>
  <c r="G22" i="3"/>
  <c r="G26" i="3"/>
  <c r="G19" i="3"/>
  <c r="G23" i="3"/>
  <c r="G27" i="3"/>
  <c r="G20" i="3"/>
  <c r="G24" i="3"/>
  <c r="G28" i="3"/>
  <c r="J30" i="3"/>
  <c r="I40" i="3"/>
  <c r="N11" i="8" s="1"/>
  <c r="AH52" i="3" l="1"/>
  <c r="AM23" i="8" s="1"/>
  <c r="AI52" i="3"/>
  <c r="AN23" i="8" s="1"/>
  <c r="AI48" i="3"/>
  <c r="AN19" i="8" s="1"/>
  <c r="AH48" i="3"/>
  <c r="AM19" i="8" s="1"/>
  <c r="AI44" i="3"/>
  <c r="AN15" i="8" s="1"/>
  <c r="AH44" i="3"/>
  <c r="AM15" i="8" s="1"/>
  <c r="AI43" i="3"/>
  <c r="AN14" i="8" s="1"/>
  <c r="AH43" i="3"/>
  <c r="AM14" i="8" s="1"/>
  <c r="AI50" i="3"/>
  <c r="AN21" i="8" s="1"/>
  <c r="AH50" i="3"/>
  <c r="AM21" i="8" s="1"/>
  <c r="AH46" i="3"/>
  <c r="AM17" i="8" s="1"/>
  <c r="AI46" i="3"/>
  <c r="AN17" i="8" s="1"/>
  <c r="AI42" i="3"/>
  <c r="AN13" i="8" s="1"/>
  <c r="AH42" i="3"/>
  <c r="AM13" i="8" s="1"/>
  <c r="AI49" i="3"/>
  <c r="AN20" i="8" s="1"/>
  <c r="AH49" i="3"/>
  <c r="AM20" i="8" s="1"/>
  <c r="AH45" i="3"/>
  <c r="AM16" i="8" s="1"/>
  <c r="AI45" i="3"/>
  <c r="AN16" i="8" s="1"/>
  <c r="AI51" i="3"/>
  <c r="AN22" i="8" s="1"/>
  <c r="AH51" i="3"/>
  <c r="AM22" i="8" s="1"/>
  <c r="AH41" i="3"/>
  <c r="AM12" i="8" s="1"/>
  <c r="AN12" i="8"/>
  <c r="AI47" i="3"/>
  <c r="AN18" i="8" s="1"/>
  <c r="AH47" i="3"/>
  <c r="AM18" i="8" s="1"/>
  <c r="Q34" i="3"/>
  <c r="Q35" i="3"/>
  <c r="Q33" i="3"/>
  <c r="Q20" i="5"/>
  <c r="AE4" i="2"/>
  <c r="AD8" i="2"/>
  <c r="AD5" i="2"/>
  <c r="AD10" i="2"/>
  <c r="AD7" i="2"/>
  <c r="AD11" i="2"/>
  <c r="AD13" i="2"/>
  <c r="AD9" i="2"/>
  <c r="AD6" i="2"/>
  <c r="AD12" i="2"/>
  <c r="Q18" i="5"/>
  <c r="R32" i="3" s="1"/>
  <c r="Q19" i="5"/>
  <c r="R17" i="5"/>
  <c r="J40" i="3"/>
  <c r="O11" i="8" s="1"/>
  <c r="K30" i="3"/>
  <c r="R33" i="3" l="1"/>
  <c r="R35" i="3"/>
  <c r="R34" i="3"/>
  <c r="R20" i="5"/>
  <c r="AF4" i="2"/>
  <c r="AE10" i="2"/>
  <c r="AE6" i="2"/>
  <c r="AE8" i="2"/>
  <c r="AE12" i="2"/>
  <c r="AE11" i="2"/>
  <c r="AE13" i="2"/>
  <c r="AE5" i="2"/>
  <c r="AE7" i="2"/>
  <c r="AE9" i="2"/>
  <c r="R18" i="5"/>
  <c r="S32" i="3" s="1"/>
  <c r="R19" i="5"/>
  <c r="S17" i="5"/>
  <c r="L30" i="3"/>
  <c r="K40" i="3"/>
  <c r="P11" i="8" s="1"/>
  <c r="S33" i="3" l="1"/>
  <c r="S35" i="3"/>
  <c r="S34" i="3"/>
  <c r="S20" i="5"/>
  <c r="AG4" i="2"/>
  <c r="AF13" i="2"/>
  <c r="AF5" i="2"/>
  <c r="AF10" i="2"/>
  <c r="AF11" i="2"/>
  <c r="AF7" i="2"/>
  <c r="AF6" i="2"/>
  <c r="AF12" i="2"/>
  <c r="AF9" i="2"/>
  <c r="AF8" i="2"/>
  <c r="S18" i="5"/>
  <c r="T32" i="3" s="1"/>
  <c r="S19" i="5"/>
  <c r="T17" i="5"/>
  <c r="M30" i="3"/>
  <c r="L40" i="3"/>
  <c r="Q11" i="8" s="1"/>
  <c r="T34" i="3" l="1"/>
  <c r="T33" i="3"/>
  <c r="T35" i="3"/>
  <c r="T20" i="5"/>
  <c r="AG6" i="2"/>
  <c r="AG9" i="2"/>
  <c r="AG13" i="2"/>
  <c r="AG11" i="2"/>
  <c r="AG8" i="2"/>
  <c r="AG10" i="2"/>
  <c r="AG5" i="2"/>
  <c r="AG7" i="2"/>
  <c r="AG12" i="2"/>
  <c r="T18" i="5"/>
  <c r="U32" i="3" s="1"/>
  <c r="T19" i="5"/>
  <c r="U17" i="5"/>
  <c r="N30" i="3"/>
  <c r="M40" i="3"/>
  <c r="R11" i="8" s="1"/>
  <c r="U34" i="3" l="1"/>
  <c r="U35" i="3"/>
  <c r="U33" i="3"/>
  <c r="U20" i="5"/>
  <c r="U18" i="5"/>
  <c r="V32" i="3" s="1"/>
  <c r="U19" i="5"/>
  <c r="V17" i="5"/>
  <c r="N40" i="3"/>
  <c r="S11" i="8" s="1"/>
  <c r="O30" i="3"/>
  <c r="V35" i="3" l="1"/>
  <c r="V34" i="3"/>
  <c r="V33" i="3"/>
  <c r="V20" i="5"/>
  <c r="V18" i="5"/>
  <c r="W32" i="3" s="1"/>
  <c r="V19" i="5"/>
  <c r="W17" i="5"/>
  <c r="P30" i="3"/>
  <c r="O40" i="3"/>
  <c r="T11" i="8" s="1"/>
  <c r="W33" i="3" l="1"/>
  <c r="W35" i="3"/>
  <c r="W34" i="3"/>
  <c r="W20" i="5"/>
  <c r="W18" i="5"/>
  <c r="X32" i="3" s="1"/>
  <c r="W19" i="5"/>
  <c r="X17" i="5"/>
  <c r="Q30" i="3"/>
  <c r="P40" i="3"/>
  <c r="U11" i="8" s="1"/>
  <c r="X35" i="3" l="1"/>
  <c r="X34" i="3"/>
  <c r="X33" i="3"/>
  <c r="X20" i="5"/>
  <c r="X18" i="5"/>
  <c r="Y32" i="3" s="1"/>
  <c r="X19" i="5"/>
  <c r="Y17" i="5"/>
  <c r="R30" i="3"/>
  <c r="Q40" i="3"/>
  <c r="V11" i="8" s="1"/>
  <c r="Y33" i="3" l="1"/>
  <c r="Y35" i="3"/>
  <c r="Y34" i="3"/>
  <c r="Y20" i="5"/>
  <c r="Y18" i="5"/>
  <c r="Z32" i="3" s="1"/>
  <c r="Y19" i="5"/>
  <c r="Z17" i="5"/>
  <c r="R40" i="3"/>
  <c r="W11" i="8" s="1"/>
  <c r="S30" i="3"/>
  <c r="Z33" i="3" l="1"/>
  <c r="Z35" i="3"/>
  <c r="Z34" i="3"/>
  <c r="Z20" i="5"/>
  <c r="Z18" i="5"/>
  <c r="AA32" i="3" s="1"/>
  <c r="Z19" i="5"/>
  <c r="AA17" i="5"/>
  <c r="T30" i="3"/>
  <c r="S40" i="3"/>
  <c r="X11" i="8" s="1"/>
  <c r="AA33" i="3" l="1"/>
  <c r="AA35" i="3"/>
  <c r="AA34" i="3"/>
  <c r="AA20" i="5"/>
  <c r="AA18" i="5"/>
  <c r="AB32" i="3" s="1"/>
  <c r="AA19" i="5"/>
  <c r="AB17" i="5"/>
  <c r="U30" i="3"/>
  <c r="T40" i="3"/>
  <c r="Y11" i="8" s="1"/>
  <c r="AB34" i="3" l="1"/>
  <c r="AB35" i="3"/>
  <c r="AB33" i="3"/>
  <c r="AB20" i="5"/>
  <c r="AB18" i="5"/>
  <c r="AC32" i="3" s="1"/>
  <c r="AB19" i="5"/>
  <c r="AC17" i="5"/>
  <c r="V30" i="3"/>
  <c r="U40" i="3"/>
  <c r="Z11" i="8" s="1"/>
  <c r="AC35" i="3" l="1"/>
  <c r="AC34" i="3"/>
  <c r="AC33" i="3"/>
  <c r="AC20" i="5"/>
  <c r="AC18" i="5"/>
  <c r="AD32" i="3" s="1"/>
  <c r="AC19" i="5"/>
  <c r="AH4" i="2"/>
  <c r="AD17" i="5"/>
  <c r="V40" i="3"/>
  <c r="AA11" i="8" s="1"/>
  <c r="W30" i="3"/>
  <c r="AD35" i="3" l="1"/>
  <c r="AD34" i="3"/>
  <c r="AD33" i="3"/>
  <c r="AD20" i="5"/>
  <c r="AH5" i="2"/>
  <c r="AH9" i="2"/>
  <c r="AH13" i="2"/>
  <c r="AH6" i="2"/>
  <c r="AH10" i="2"/>
  <c r="AH7" i="2"/>
  <c r="AH11" i="2"/>
  <c r="AH8" i="2"/>
  <c r="AH12" i="2"/>
  <c r="AD18" i="5"/>
  <c r="AE32" i="3" s="1"/>
  <c r="AD19" i="5"/>
  <c r="AE17" i="5"/>
  <c r="X30" i="3"/>
  <c r="W40" i="3"/>
  <c r="AB11" i="8" s="1"/>
  <c r="AE35" i="3" l="1"/>
  <c r="AE34" i="3"/>
  <c r="AE33" i="3"/>
  <c r="AE20" i="5"/>
  <c r="AK9" i="2"/>
  <c r="AK13" i="2"/>
  <c r="AK6" i="2"/>
  <c r="AK10" i="2"/>
  <c r="AK12" i="2"/>
  <c r="AK7" i="2"/>
  <c r="AK11" i="2"/>
  <c r="AK8" i="2"/>
  <c r="AE19" i="5"/>
  <c r="AE18" i="5"/>
  <c r="AF32" i="3" s="1"/>
  <c r="Y30" i="3"/>
  <c r="X40" i="3"/>
  <c r="AC11" i="8" s="1"/>
  <c r="AF35" i="3" l="1"/>
  <c r="AF34" i="3"/>
  <c r="AF33" i="3"/>
  <c r="Z30" i="3"/>
  <c r="Y40" i="3"/>
  <c r="AD11" i="8" s="1"/>
  <c r="Z40" i="3" l="1"/>
  <c r="AE11" i="8" s="1"/>
  <c r="AA30" i="3"/>
  <c r="AB30" i="3" l="1"/>
  <c r="AA40" i="3"/>
  <c r="AF11" i="8" s="1"/>
  <c r="AC30" i="3" l="1"/>
  <c r="AB40" i="3"/>
  <c r="AG11" i="8" s="1"/>
  <c r="AC40" i="3" l="1"/>
  <c r="AH11" i="8" s="1"/>
  <c r="AD30" i="3"/>
  <c r="AD40" i="3" l="1"/>
  <c r="AI11" i="8" s="1"/>
  <c r="AE30" i="3"/>
  <c r="AF30" i="3" l="1"/>
  <c r="AE40" i="3"/>
  <c r="AJ11" i="8" s="1"/>
  <c r="AF40" i="3" l="1"/>
  <c r="AK11" i="8" s="1"/>
  <c r="AG30" i="3"/>
  <c r="AG40" i="3" l="1"/>
  <c r="AL11" i="8" s="1"/>
  <c r="D41" i="3" l="1"/>
  <c r="I12" i="8" l="1"/>
  <c r="D42" i="3"/>
  <c r="D51" i="3"/>
  <c r="I22" i="8" s="1"/>
  <c r="D49" i="3"/>
  <c r="D47" i="3"/>
  <c r="D43" i="3"/>
  <c r="I14" i="8" s="1"/>
  <c r="D48" i="3"/>
  <c r="I19" i="8" s="1"/>
  <c r="D50" i="3"/>
  <c r="I21" i="8" s="1"/>
  <c r="D46" i="3"/>
  <c r="I17" i="8" s="1"/>
  <c r="D52" i="3"/>
  <c r="D45" i="3"/>
  <c r="I16" i="8" s="1"/>
  <c r="D44" i="3"/>
  <c r="I15" i="8" s="1"/>
  <c r="E41" i="3"/>
  <c r="I13" i="8" l="1"/>
  <c r="F51" i="3"/>
  <c r="K22" i="8" s="1"/>
  <c r="F42" i="3"/>
  <c r="K13" i="8" s="1"/>
  <c r="F47" i="3"/>
  <c r="K18" i="8" s="1"/>
  <c r="F43" i="3"/>
  <c r="K14" i="8" s="1"/>
  <c r="F48" i="3"/>
  <c r="K19" i="8" s="1"/>
  <c r="F50" i="3"/>
  <c r="K21" i="8" s="1"/>
  <c r="F46" i="3"/>
  <c r="K17" i="8" s="1"/>
  <c r="F45" i="3"/>
  <c r="K16" i="8" s="1"/>
  <c r="F44" i="3"/>
  <c r="K15" i="8" s="1"/>
  <c r="F49" i="3"/>
  <c r="K20" i="8" s="1"/>
  <c r="F41" i="3"/>
  <c r="K12" i="8" s="1"/>
  <c r="F52" i="3"/>
  <c r="K23" i="8" s="1"/>
  <c r="G47" i="3"/>
  <c r="L18" i="8" s="1"/>
  <c r="G50" i="3"/>
  <c r="L21" i="8" s="1"/>
  <c r="G41" i="3"/>
  <c r="L12" i="8" s="1"/>
  <c r="G51" i="3"/>
  <c r="L22" i="8" s="1"/>
  <c r="G45" i="3"/>
  <c r="L16" i="8" s="1"/>
  <c r="G43" i="3"/>
  <c r="L14" i="8" s="1"/>
  <c r="G42" i="3"/>
  <c r="L13" i="8" s="1"/>
  <c r="G52" i="3"/>
  <c r="L23" i="8" s="1"/>
  <c r="G48" i="3"/>
  <c r="L19" i="8" s="1"/>
  <c r="G46" i="3"/>
  <c r="L17" i="8" s="1"/>
  <c r="G44" i="3"/>
  <c r="L15" i="8" s="1"/>
  <c r="G49" i="3"/>
  <c r="L20" i="8" s="1"/>
  <c r="E49" i="3"/>
  <c r="J20" i="8" s="1"/>
  <c r="E47" i="3"/>
  <c r="J18" i="8" s="1"/>
  <c r="E46" i="3"/>
  <c r="J17" i="8" s="1"/>
  <c r="E43" i="3"/>
  <c r="J14" i="8" s="1"/>
  <c r="E48" i="3"/>
  <c r="J19" i="8" s="1"/>
  <c r="E51" i="3"/>
  <c r="J22" i="8" s="1"/>
  <c r="E45" i="3"/>
  <c r="J16" i="8" s="1"/>
  <c r="E52" i="3"/>
  <c r="J23" i="8" s="1"/>
  <c r="E44" i="3"/>
  <c r="J15" i="8" s="1"/>
  <c r="E42" i="3"/>
  <c r="J13" i="8" s="1"/>
  <c r="E50" i="3"/>
  <c r="J21" i="8" s="1"/>
  <c r="J12" i="8"/>
  <c r="H45" i="3"/>
  <c r="M16" i="8" s="1"/>
  <c r="H47" i="3"/>
  <c r="M18" i="8" s="1"/>
  <c r="H42" i="3"/>
  <c r="M13" i="8" s="1"/>
  <c r="H51" i="3"/>
  <c r="M22" i="8" s="1"/>
  <c r="H49" i="3"/>
  <c r="M20" i="8" s="1"/>
  <c r="H44" i="3"/>
  <c r="M15" i="8" s="1"/>
  <c r="H43" i="3"/>
  <c r="M14" i="8" s="1"/>
  <c r="H50" i="3"/>
  <c r="M21" i="8" s="1"/>
  <c r="H41" i="3"/>
  <c r="M12" i="8" s="1"/>
  <c r="H48" i="3"/>
  <c r="M19" i="8" s="1"/>
  <c r="H46" i="3"/>
  <c r="M17" i="8" s="1"/>
  <c r="H52" i="3"/>
  <c r="M23" i="8" s="1"/>
  <c r="I23" i="8"/>
  <c r="I20" i="8"/>
  <c r="I18" i="8"/>
  <c r="I41" i="3" l="1"/>
  <c r="I47" i="3"/>
  <c r="R48" i="3"/>
  <c r="W19" i="8" s="1"/>
  <c r="R46" i="3"/>
  <c r="W17" i="8" s="1"/>
  <c r="R43" i="3"/>
  <c r="W14" i="8" s="1"/>
  <c r="R45" i="3"/>
  <c r="W16" i="8" s="1"/>
  <c r="R47" i="3"/>
  <c r="W18" i="8" s="1"/>
  <c r="R52" i="3"/>
  <c r="W23" i="8" s="1"/>
  <c r="R50" i="3"/>
  <c r="W21" i="8" s="1"/>
  <c r="R49" i="3"/>
  <c r="W20" i="8" s="1"/>
  <c r="R41" i="3"/>
  <c r="R42" i="3"/>
  <c r="W13" i="8" s="1"/>
  <c r="R51" i="3"/>
  <c r="W22" i="8" s="1"/>
  <c r="R44" i="3"/>
  <c r="W15" i="8" s="1"/>
  <c r="T50" i="3"/>
  <c r="Y21" i="8" s="1"/>
  <c r="T47" i="3"/>
  <c r="Y18" i="8" s="1"/>
  <c r="T48" i="3"/>
  <c r="Y19" i="8" s="1"/>
  <c r="T44" i="3"/>
  <c r="Y15" i="8" s="1"/>
  <c r="T45" i="3"/>
  <c r="Y16" i="8" s="1"/>
  <c r="T42" i="3"/>
  <c r="Y13" i="8" s="1"/>
  <c r="T52" i="3"/>
  <c r="Y23" i="8" s="1"/>
  <c r="T46" i="3"/>
  <c r="Y17" i="8" s="1"/>
  <c r="T49" i="3"/>
  <c r="Y20" i="8" s="1"/>
  <c r="T41" i="3"/>
  <c r="T43" i="3"/>
  <c r="Y14" i="8" s="1"/>
  <c r="T51" i="3"/>
  <c r="Y22" i="8" s="1"/>
  <c r="K50" i="3"/>
  <c r="P21" i="8" s="1"/>
  <c r="K52" i="3"/>
  <c r="P23" i="8" s="1"/>
  <c r="K42" i="3"/>
  <c r="P13" i="8" s="1"/>
  <c r="K43" i="3"/>
  <c r="P14" i="8" s="1"/>
  <c r="K44" i="3"/>
  <c r="P15" i="8" s="1"/>
  <c r="K41" i="3"/>
  <c r="P12" i="8" s="1"/>
  <c r="K47" i="3"/>
  <c r="P18" i="8" s="1"/>
  <c r="K51" i="3"/>
  <c r="P22" i="8" s="1"/>
  <c r="K46" i="3"/>
  <c r="P17" i="8" s="1"/>
  <c r="K48" i="3"/>
  <c r="P19" i="8" s="1"/>
  <c r="K45" i="3"/>
  <c r="P16" i="8" s="1"/>
  <c r="K49" i="3"/>
  <c r="P20" i="8" s="1"/>
  <c r="L49" i="3"/>
  <c r="Q20" i="8" s="1"/>
  <c r="L42" i="3"/>
  <c r="Q13" i="8" s="1"/>
  <c r="L48" i="3"/>
  <c r="Q19" i="8" s="1"/>
  <c r="L51" i="3"/>
  <c r="Q22" i="8" s="1"/>
  <c r="L52" i="3"/>
  <c r="Q23" i="8" s="1"/>
  <c r="L44" i="3"/>
  <c r="Q15" i="8" s="1"/>
  <c r="L45" i="3"/>
  <c r="Q16" i="8" s="1"/>
  <c r="L50" i="3"/>
  <c r="Q21" i="8" s="1"/>
  <c r="L47" i="3"/>
  <c r="Q18" i="8" s="1"/>
  <c r="L43" i="3"/>
  <c r="Q14" i="8" s="1"/>
  <c r="L46" i="3"/>
  <c r="Q17" i="8" s="1"/>
  <c r="L41" i="3"/>
  <c r="Q12" i="8" s="1"/>
  <c r="P46" i="3"/>
  <c r="U17" i="8" s="1"/>
  <c r="P45" i="3"/>
  <c r="U16" i="8" s="1"/>
  <c r="P51" i="3"/>
  <c r="U22" i="8" s="1"/>
  <c r="P43" i="3"/>
  <c r="U14" i="8" s="1"/>
  <c r="P42" i="3"/>
  <c r="U13" i="8" s="1"/>
  <c r="P52" i="3"/>
  <c r="U23" i="8" s="1"/>
  <c r="P44" i="3"/>
  <c r="U15" i="8" s="1"/>
  <c r="P49" i="3"/>
  <c r="U20" i="8" s="1"/>
  <c r="P48" i="3"/>
  <c r="U19" i="8" s="1"/>
  <c r="P41" i="3"/>
  <c r="P47" i="3"/>
  <c r="U18" i="8" s="1"/>
  <c r="P50" i="3"/>
  <c r="U21" i="8" s="1"/>
  <c r="N44" i="3"/>
  <c r="S15" i="8" s="1"/>
  <c r="N42" i="3"/>
  <c r="S13" i="8" s="1"/>
  <c r="N48" i="3"/>
  <c r="S19" i="8" s="1"/>
  <c r="N52" i="3"/>
  <c r="S23" i="8" s="1"/>
  <c r="N41" i="3"/>
  <c r="N49" i="3"/>
  <c r="S20" i="8" s="1"/>
  <c r="N47" i="3"/>
  <c r="S18" i="8" s="1"/>
  <c r="N51" i="3"/>
  <c r="S22" i="8" s="1"/>
  <c r="N46" i="3"/>
  <c r="S17" i="8" s="1"/>
  <c r="N50" i="3"/>
  <c r="S21" i="8" s="1"/>
  <c r="N45" i="3"/>
  <c r="S16" i="8" s="1"/>
  <c r="N43" i="3"/>
  <c r="S14" i="8" s="1"/>
  <c r="S52" i="3"/>
  <c r="X23" i="8" s="1"/>
  <c r="S47" i="3"/>
  <c r="X18" i="8" s="1"/>
  <c r="S48" i="3"/>
  <c r="X19" i="8" s="1"/>
  <c r="S43" i="3"/>
  <c r="X14" i="8" s="1"/>
  <c r="S44" i="3"/>
  <c r="X15" i="8" s="1"/>
  <c r="S51" i="3"/>
  <c r="X22" i="8" s="1"/>
  <c r="S50" i="3"/>
  <c r="X21" i="8" s="1"/>
  <c r="S46" i="3"/>
  <c r="X17" i="8" s="1"/>
  <c r="S49" i="3"/>
  <c r="X20" i="8" s="1"/>
  <c r="S41" i="3"/>
  <c r="S45" i="3"/>
  <c r="X16" i="8" s="1"/>
  <c r="S42" i="3"/>
  <c r="X13" i="8" s="1"/>
  <c r="Q43" i="3"/>
  <c r="V14" i="8" s="1"/>
  <c r="Q52" i="3"/>
  <c r="V23" i="8" s="1"/>
  <c r="Q42" i="3"/>
  <c r="V13" i="8" s="1"/>
  <c r="Q51" i="3"/>
  <c r="V22" i="8" s="1"/>
  <c r="Q44" i="3"/>
  <c r="V15" i="8" s="1"/>
  <c r="Q50" i="3"/>
  <c r="V21" i="8" s="1"/>
  <c r="Q46" i="3"/>
  <c r="V17" i="8" s="1"/>
  <c r="Q41" i="3"/>
  <c r="Q47" i="3"/>
  <c r="V18" i="8" s="1"/>
  <c r="Q45" i="3"/>
  <c r="V16" i="8" s="1"/>
  <c r="Q48" i="3"/>
  <c r="V19" i="8" s="1"/>
  <c r="Q49" i="3"/>
  <c r="V20" i="8" s="1"/>
  <c r="J44" i="3"/>
  <c r="O15" i="8" s="1"/>
  <c r="J49" i="3"/>
  <c r="O20" i="8" s="1"/>
  <c r="J43" i="3"/>
  <c r="O14" i="8" s="1"/>
  <c r="J52" i="3"/>
  <c r="O23" i="8" s="1"/>
  <c r="J50" i="3"/>
  <c r="O21" i="8" s="1"/>
  <c r="J45" i="3"/>
  <c r="O16" i="8" s="1"/>
  <c r="J42" i="3"/>
  <c r="O13" i="8" s="1"/>
  <c r="J46" i="3"/>
  <c r="O17" i="8" s="1"/>
  <c r="J41" i="3"/>
  <c r="O12" i="8" s="1"/>
  <c r="J48" i="3"/>
  <c r="O19" i="8" s="1"/>
  <c r="J51" i="3"/>
  <c r="O22" i="8" s="1"/>
  <c r="J47" i="3"/>
  <c r="O18" i="8" s="1"/>
  <c r="M48" i="3"/>
  <c r="R19" i="8" s="1"/>
  <c r="M41" i="3"/>
  <c r="M43" i="3"/>
  <c r="R14" i="8" s="1"/>
  <c r="M52" i="3"/>
  <c r="R23" i="8" s="1"/>
  <c r="M51" i="3"/>
  <c r="R22" i="8" s="1"/>
  <c r="M46" i="3"/>
  <c r="R17" i="8" s="1"/>
  <c r="M42" i="3"/>
  <c r="R13" i="8" s="1"/>
  <c r="M50" i="3"/>
  <c r="R21" i="8" s="1"/>
  <c r="M49" i="3"/>
  <c r="R20" i="8" s="1"/>
  <c r="M44" i="3"/>
  <c r="R15" i="8" s="1"/>
  <c r="M45" i="3"/>
  <c r="R16" i="8" s="1"/>
  <c r="M47" i="3"/>
  <c r="R18" i="8" s="1"/>
  <c r="O43" i="3"/>
  <c r="T14" i="8" s="1"/>
  <c r="O45" i="3"/>
  <c r="T16" i="8" s="1"/>
  <c r="O51" i="3"/>
  <c r="T22" i="8" s="1"/>
  <c r="O41" i="3"/>
  <c r="O42" i="3"/>
  <c r="T13" i="8" s="1"/>
  <c r="O46" i="3"/>
  <c r="T17" i="8" s="1"/>
  <c r="O49" i="3"/>
  <c r="T20" i="8" s="1"/>
  <c r="O52" i="3"/>
  <c r="T23" i="8" s="1"/>
  <c r="O47" i="3"/>
  <c r="T18" i="8" s="1"/>
  <c r="O48" i="3"/>
  <c r="T19" i="8" s="1"/>
  <c r="O50" i="3"/>
  <c r="T21" i="8" s="1"/>
  <c r="O44" i="3"/>
  <c r="T15" i="8" s="1"/>
  <c r="I48" i="3"/>
  <c r="N19" i="8" s="1"/>
  <c r="I42" i="3"/>
  <c r="I44" i="3"/>
  <c r="I52" i="3"/>
  <c r="I50" i="3"/>
  <c r="I49" i="3"/>
  <c r="I46" i="3"/>
  <c r="I51" i="3"/>
  <c r="I45" i="3"/>
  <c r="I43" i="3"/>
  <c r="N22" i="8" l="1"/>
  <c r="N16" i="8"/>
  <c r="N17" i="8"/>
  <c r="N13" i="8"/>
  <c r="N12" i="8"/>
  <c r="N15" i="8"/>
  <c r="N14" i="8"/>
  <c r="N23" i="8"/>
  <c r="N20" i="8"/>
  <c r="N18" i="8"/>
  <c r="N21" i="8"/>
  <c r="U12" i="8" l="1"/>
  <c r="X12" i="8"/>
  <c r="T12" i="8"/>
  <c r="S12" i="8"/>
  <c r="V12" i="8"/>
  <c r="W12" i="8"/>
  <c r="Y12" i="8" l="1"/>
  <c r="R12" i="8"/>
  <c r="AN56" i="6" s="1"/>
  <c r="AK56" i="6" l="1"/>
  <c r="AN72" i="6"/>
  <c r="AJ52" i="3" s="1"/>
  <c r="AO23" i="8" s="1"/>
  <c r="AK72" i="6" l="1"/>
  <c r="AG52" i="3" s="1"/>
  <c r="AL23" i="8" s="1"/>
  <c r="AJ56" i="6"/>
  <c r="AI56" i="6" l="1"/>
  <c r="AJ72" i="6"/>
  <c r="AF52" i="3" s="1"/>
  <c r="AK23" i="8" s="1"/>
  <c r="AH56" i="6" l="1"/>
  <c r="AI72" i="6"/>
  <c r="AE52" i="3" s="1"/>
  <c r="AJ23" i="8" s="1"/>
  <c r="AG56" i="6" l="1"/>
  <c r="AH72" i="6"/>
  <c r="AD52" i="3" s="1"/>
  <c r="AI23" i="8" s="1"/>
  <c r="AF56" i="6" l="1"/>
  <c r="AG72" i="6"/>
  <c r="AC52" i="3" s="1"/>
  <c r="AH23" i="8" s="1"/>
  <c r="AE56" i="6" l="1"/>
  <c r="AF72" i="6"/>
  <c r="AB52" i="3" s="1"/>
  <c r="AG23" i="8" s="1"/>
  <c r="AD56" i="6" l="1"/>
  <c r="AE72" i="6"/>
  <c r="AA52" i="3" s="1"/>
  <c r="AF23" i="8" s="1"/>
  <c r="AC56" i="6" l="1"/>
  <c r="AD72" i="6"/>
  <c r="Z52" i="3" s="1"/>
  <c r="AE23" i="8" s="1"/>
  <c r="AB56" i="6" l="1"/>
  <c r="AC72" i="6"/>
  <c r="Y52" i="3" s="1"/>
  <c r="AD23" i="8" s="1"/>
  <c r="AA56" i="6" l="1"/>
  <c r="AB72" i="6"/>
  <c r="X52" i="3" s="1"/>
  <c r="AC23" i="8" s="1"/>
  <c r="Z56" i="6" l="1"/>
  <c r="AA72" i="6"/>
  <c r="W52" i="3" s="1"/>
  <c r="AB23" i="8" s="1"/>
  <c r="Y56" i="6" l="1"/>
  <c r="Z72" i="6"/>
  <c r="V52" i="3" s="1"/>
  <c r="AA23" i="8" s="1"/>
  <c r="AN55" i="6" l="1"/>
  <c r="Y72" i="6"/>
  <c r="U52" i="3" s="1"/>
  <c r="Z23" i="8" l="1"/>
  <c r="B52" i="3"/>
  <c r="D23" i="8" s="1"/>
  <c r="AK55" i="6"/>
  <c r="AN71" i="6"/>
  <c r="AJ51" i="3" s="1"/>
  <c r="AO22" i="8" s="1"/>
  <c r="AJ55" i="6" l="1"/>
  <c r="AK71" i="6"/>
  <c r="AG51" i="3" s="1"/>
  <c r="AL22" i="8" s="1"/>
  <c r="AI55" i="6" l="1"/>
  <c r="AJ71" i="6"/>
  <c r="AF51" i="3" s="1"/>
  <c r="AK22" i="8" s="1"/>
  <c r="AH55" i="6" l="1"/>
  <c r="AI71" i="6"/>
  <c r="AE51" i="3" s="1"/>
  <c r="AJ22" i="8" s="1"/>
  <c r="AG55" i="6" l="1"/>
  <c r="AH71" i="6"/>
  <c r="AD51" i="3" s="1"/>
  <c r="AI22" i="8" s="1"/>
  <c r="AF55" i="6" l="1"/>
  <c r="AG71" i="6"/>
  <c r="AC51" i="3" s="1"/>
  <c r="AH22" i="8" s="1"/>
  <c r="AE55" i="6" l="1"/>
  <c r="AF71" i="6"/>
  <c r="AB51" i="3" s="1"/>
  <c r="AG22" i="8" s="1"/>
  <c r="AD55" i="6" l="1"/>
  <c r="AE71" i="6"/>
  <c r="AA51" i="3" s="1"/>
  <c r="AF22" i="8" s="1"/>
  <c r="AC55" i="6" l="1"/>
  <c r="AD71" i="6"/>
  <c r="Z51" i="3" s="1"/>
  <c r="AE22" i="8" s="1"/>
  <c r="AB55" i="6" l="1"/>
  <c r="AC71" i="6"/>
  <c r="Y51" i="3" s="1"/>
  <c r="AD22" i="8" s="1"/>
  <c r="AA55" i="6" l="1"/>
  <c r="AB71" i="6"/>
  <c r="X51" i="3" s="1"/>
  <c r="AC22" i="8" s="1"/>
  <c r="Z55" i="6" l="1"/>
  <c r="AA71" i="6"/>
  <c r="W51" i="3" s="1"/>
  <c r="AB22" i="8" s="1"/>
  <c r="Y55" i="6" l="1"/>
  <c r="Z71" i="6"/>
  <c r="V51" i="3" s="1"/>
  <c r="AA22" i="8" s="1"/>
  <c r="AN54" i="6" l="1"/>
  <c r="Y71" i="6"/>
  <c r="U51" i="3" s="1"/>
  <c r="Z22" i="8" l="1"/>
  <c r="B51" i="3"/>
  <c r="D22" i="8" s="1"/>
  <c r="AK54" i="6"/>
  <c r="AN70" i="6"/>
  <c r="AJ50" i="3" s="1"/>
  <c r="AO21" i="8" s="1"/>
  <c r="AJ54" i="6" l="1"/>
  <c r="AK70" i="6"/>
  <c r="AG50" i="3" s="1"/>
  <c r="AL21" i="8" s="1"/>
  <c r="AI54" i="6" l="1"/>
  <c r="AJ70" i="6"/>
  <c r="AF50" i="3" s="1"/>
  <c r="AK21" i="8" s="1"/>
  <c r="AH54" i="6" l="1"/>
  <c r="AI70" i="6"/>
  <c r="AE50" i="3" s="1"/>
  <c r="AJ21" i="8" s="1"/>
  <c r="AG54" i="6" l="1"/>
  <c r="AH70" i="6"/>
  <c r="AD50" i="3" s="1"/>
  <c r="AI21" i="8" s="1"/>
  <c r="AF54" i="6" l="1"/>
  <c r="AG70" i="6"/>
  <c r="AC50" i="3" s="1"/>
  <c r="AH21" i="8" s="1"/>
  <c r="AE54" i="6" l="1"/>
  <c r="AF70" i="6"/>
  <c r="AB50" i="3" s="1"/>
  <c r="AG21" i="8" s="1"/>
  <c r="AD54" i="6" l="1"/>
  <c r="AE70" i="6"/>
  <c r="AA50" i="3" s="1"/>
  <c r="AF21" i="8" s="1"/>
  <c r="AC54" i="6" l="1"/>
  <c r="AD70" i="6"/>
  <c r="Z50" i="3" s="1"/>
  <c r="AE21" i="8" s="1"/>
  <c r="AB54" i="6" l="1"/>
  <c r="AC70" i="6"/>
  <c r="Y50" i="3" s="1"/>
  <c r="AD21" i="8" s="1"/>
  <c r="AA54" i="6" l="1"/>
  <c r="AB70" i="6"/>
  <c r="X50" i="3" s="1"/>
  <c r="AC21" i="8" s="1"/>
  <c r="Z54" i="6" l="1"/>
  <c r="AA70" i="6"/>
  <c r="W50" i="3" s="1"/>
  <c r="AB21" i="8" s="1"/>
  <c r="Y54" i="6" l="1"/>
  <c r="Z70" i="6"/>
  <c r="V50" i="3" s="1"/>
  <c r="AA21" i="8" s="1"/>
  <c r="AN53" i="6" l="1"/>
  <c r="Y70" i="6"/>
  <c r="U50" i="3" s="1"/>
  <c r="Z21" i="8" l="1"/>
  <c r="B50" i="3"/>
  <c r="D21" i="8" s="1"/>
  <c r="AK53" i="6"/>
  <c r="AN69" i="6"/>
  <c r="AJ49" i="3" s="1"/>
  <c r="AO20" i="8" s="1"/>
  <c r="AJ53" i="6" l="1"/>
  <c r="AK69" i="6"/>
  <c r="AG49" i="3" s="1"/>
  <c r="AL20" i="8" s="1"/>
  <c r="AI53" i="6" l="1"/>
  <c r="AJ69" i="6"/>
  <c r="AF49" i="3" s="1"/>
  <c r="AK20" i="8" s="1"/>
  <c r="AH53" i="6" l="1"/>
  <c r="AI69" i="6"/>
  <c r="AE49" i="3" s="1"/>
  <c r="AJ20" i="8" s="1"/>
  <c r="AG53" i="6" l="1"/>
  <c r="AH69" i="6"/>
  <c r="AD49" i="3" s="1"/>
  <c r="AI20" i="8" s="1"/>
  <c r="AF53" i="6" l="1"/>
  <c r="AG69" i="6"/>
  <c r="AC49" i="3" s="1"/>
  <c r="AH20" i="8" s="1"/>
  <c r="AE53" i="6" l="1"/>
  <c r="AF69" i="6"/>
  <c r="AB49" i="3" s="1"/>
  <c r="AG20" i="8" s="1"/>
  <c r="AD53" i="6" l="1"/>
  <c r="AE69" i="6"/>
  <c r="AA49" i="3" s="1"/>
  <c r="AF20" i="8" s="1"/>
  <c r="AC53" i="6" l="1"/>
  <c r="AD69" i="6"/>
  <c r="Z49" i="3" s="1"/>
  <c r="AE20" i="8" s="1"/>
  <c r="AB53" i="6" l="1"/>
  <c r="AC69" i="6"/>
  <c r="Y49" i="3" s="1"/>
  <c r="AD20" i="8" s="1"/>
  <c r="AA53" i="6" l="1"/>
  <c r="AB69" i="6"/>
  <c r="X49" i="3" s="1"/>
  <c r="AC20" i="8" s="1"/>
  <c r="Z53" i="6" l="1"/>
  <c r="AA69" i="6"/>
  <c r="W49" i="3" s="1"/>
  <c r="AB20" i="8" s="1"/>
  <c r="Y53" i="6" l="1"/>
  <c r="Z69" i="6"/>
  <c r="V49" i="3" s="1"/>
  <c r="AA20" i="8" s="1"/>
  <c r="AN52" i="6" l="1"/>
  <c r="Y69" i="6"/>
  <c r="U49" i="3" s="1"/>
  <c r="Z20" i="8" l="1"/>
  <c r="B49" i="3"/>
  <c r="D20" i="8" s="1"/>
  <c r="AK52" i="6"/>
  <c r="AN68" i="6"/>
  <c r="AJ48" i="3" s="1"/>
  <c r="AO19" i="8" s="1"/>
  <c r="AJ52" i="6" l="1"/>
  <c r="AK68" i="6"/>
  <c r="AG48" i="3" s="1"/>
  <c r="AL19" i="8" s="1"/>
  <c r="AI52" i="6" l="1"/>
  <c r="AJ68" i="6"/>
  <c r="AF48" i="3" s="1"/>
  <c r="AK19" i="8" s="1"/>
  <c r="AH52" i="6" l="1"/>
  <c r="AI68" i="6"/>
  <c r="AE48" i="3" s="1"/>
  <c r="AJ19" i="8" s="1"/>
  <c r="AG52" i="6" l="1"/>
  <c r="AH68" i="6"/>
  <c r="AD48" i="3" s="1"/>
  <c r="AI19" i="8" s="1"/>
  <c r="AF52" i="6" l="1"/>
  <c r="AG68" i="6"/>
  <c r="AC48" i="3" s="1"/>
  <c r="AH19" i="8" s="1"/>
  <c r="AE52" i="6" l="1"/>
  <c r="AF68" i="6"/>
  <c r="AB48" i="3" s="1"/>
  <c r="AG19" i="8" s="1"/>
  <c r="AD52" i="6" l="1"/>
  <c r="AE68" i="6"/>
  <c r="AA48" i="3" s="1"/>
  <c r="AF19" i="8" s="1"/>
  <c r="AC52" i="6" l="1"/>
  <c r="AD68" i="6"/>
  <c r="Z48" i="3" s="1"/>
  <c r="AE19" i="8" s="1"/>
  <c r="AB52" i="6" l="1"/>
  <c r="AC68" i="6"/>
  <c r="Y48" i="3" s="1"/>
  <c r="AD19" i="8" s="1"/>
  <c r="AA52" i="6" l="1"/>
  <c r="AB68" i="6"/>
  <c r="X48" i="3" s="1"/>
  <c r="AC19" i="8" s="1"/>
  <c r="Z52" i="6" l="1"/>
  <c r="AA68" i="6"/>
  <c r="W48" i="3" s="1"/>
  <c r="AB19" i="8" s="1"/>
  <c r="Y52" i="6" l="1"/>
  <c r="Z68" i="6"/>
  <c r="V48" i="3" s="1"/>
  <c r="AA19" i="8" s="1"/>
  <c r="AN51" i="6" l="1"/>
  <c r="Y68" i="6"/>
  <c r="U48" i="3" s="1"/>
  <c r="Z19" i="8" l="1"/>
  <c r="B48" i="3"/>
  <c r="D19" i="8" s="1"/>
  <c r="AK51" i="6"/>
  <c r="AN67" i="6"/>
  <c r="AJ47" i="3" s="1"/>
  <c r="AO18" i="8" s="1"/>
  <c r="AJ51" i="6" l="1"/>
  <c r="AK67" i="6"/>
  <c r="AG47" i="3" s="1"/>
  <c r="AL18" i="8" s="1"/>
  <c r="AI51" i="6" l="1"/>
  <c r="AJ67" i="6"/>
  <c r="AF47" i="3" s="1"/>
  <c r="AK18" i="8" s="1"/>
  <c r="AH51" i="6" l="1"/>
  <c r="AI67" i="6"/>
  <c r="AE47" i="3" s="1"/>
  <c r="AJ18" i="8" s="1"/>
  <c r="AG51" i="6" l="1"/>
  <c r="AH67" i="6"/>
  <c r="AD47" i="3" s="1"/>
  <c r="AI18" i="8" s="1"/>
  <c r="AF51" i="6" l="1"/>
  <c r="AG67" i="6"/>
  <c r="AC47" i="3" s="1"/>
  <c r="AH18" i="8" s="1"/>
  <c r="AE51" i="6" l="1"/>
  <c r="AF67" i="6"/>
  <c r="AB47" i="3" s="1"/>
  <c r="AG18" i="8" s="1"/>
  <c r="AD51" i="6" l="1"/>
  <c r="AE67" i="6"/>
  <c r="AA47" i="3" s="1"/>
  <c r="AF18" i="8" s="1"/>
  <c r="AC51" i="6" l="1"/>
  <c r="AD67" i="6"/>
  <c r="Z47" i="3" s="1"/>
  <c r="AE18" i="8" s="1"/>
  <c r="AB51" i="6" l="1"/>
  <c r="AC67" i="6"/>
  <c r="Y47" i="3" s="1"/>
  <c r="AD18" i="8" s="1"/>
  <c r="AA51" i="6" l="1"/>
  <c r="AB67" i="6"/>
  <c r="X47" i="3" s="1"/>
  <c r="AC18" i="8" s="1"/>
  <c r="Z51" i="6" l="1"/>
  <c r="AA67" i="6"/>
  <c r="W47" i="3" s="1"/>
  <c r="AB18" i="8" s="1"/>
  <c r="Y51" i="6" l="1"/>
  <c r="Z67" i="6"/>
  <c r="V47" i="3" s="1"/>
  <c r="AA18" i="8" s="1"/>
  <c r="AN50" i="6" l="1"/>
  <c r="Y67" i="6"/>
  <c r="U47" i="3" s="1"/>
  <c r="Z18" i="8" l="1"/>
  <c r="B47" i="3"/>
  <c r="D18" i="8" s="1"/>
  <c r="AK50" i="6"/>
  <c r="AN66" i="6"/>
  <c r="AJ46" i="3" s="1"/>
  <c r="AO17" i="8" s="1"/>
  <c r="AJ50" i="6" l="1"/>
  <c r="AK66" i="6"/>
  <c r="AG46" i="3" s="1"/>
  <c r="AL17" i="8" s="1"/>
  <c r="AI50" i="6" l="1"/>
  <c r="AJ66" i="6"/>
  <c r="AF46" i="3" s="1"/>
  <c r="AK17" i="8" s="1"/>
  <c r="AH50" i="6" l="1"/>
  <c r="AI66" i="6"/>
  <c r="AE46" i="3" s="1"/>
  <c r="AJ17" i="8" s="1"/>
  <c r="AG50" i="6" l="1"/>
  <c r="AH66" i="6"/>
  <c r="AD46" i="3" s="1"/>
  <c r="AI17" i="8" s="1"/>
  <c r="AF50" i="6" l="1"/>
  <c r="AG66" i="6"/>
  <c r="AC46" i="3" s="1"/>
  <c r="AH17" i="8" s="1"/>
  <c r="AE50" i="6" l="1"/>
  <c r="AF66" i="6"/>
  <c r="AB46" i="3" s="1"/>
  <c r="AG17" i="8" s="1"/>
  <c r="AD50" i="6" l="1"/>
  <c r="AE66" i="6"/>
  <c r="AA46" i="3" s="1"/>
  <c r="AF17" i="8" s="1"/>
  <c r="AC50" i="6" l="1"/>
  <c r="AD66" i="6"/>
  <c r="Z46" i="3" s="1"/>
  <c r="AE17" i="8" s="1"/>
  <c r="AB50" i="6" l="1"/>
  <c r="AC66" i="6"/>
  <c r="Y46" i="3" s="1"/>
  <c r="AD17" i="8" s="1"/>
  <c r="AA50" i="6" l="1"/>
  <c r="AB66" i="6"/>
  <c r="X46" i="3" s="1"/>
  <c r="AC17" i="8" s="1"/>
  <c r="Z50" i="6" l="1"/>
  <c r="AA66" i="6"/>
  <c r="W46" i="3" s="1"/>
  <c r="AB17" i="8" s="1"/>
  <c r="Y50" i="6" l="1"/>
  <c r="Z66" i="6"/>
  <c r="V46" i="3" s="1"/>
  <c r="AA17" i="8" s="1"/>
  <c r="AN49" i="6" l="1"/>
  <c r="Y66" i="6"/>
  <c r="U46" i="3" s="1"/>
  <c r="Z17" i="8" l="1"/>
  <c r="B46" i="3"/>
  <c r="D17" i="8" s="1"/>
  <c r="AK49" i="6"/>
  <c r="AN65" i="6"/>
  <c r="AJ45" i="3" s="1"/>
  <c r="AO16" i="8" s="1"/>
  <c r="AJ49" i="6" l="1"/>
  <c r="AK65" i="6"/>
  <c r="AG45" i="3" s="1"/>
  <c r="AL16" i="8" s="1"/>
  <c r="AI49" i="6" l="1"/>
  <c r="AJ65" i="6"/>
  <c r="AF45" i="3" s="1"/>
  <c r="AK16" i="8" s="1"/>
  <c r="AH49" i="6" l="1"/>
  <c r="AI65" i="6"/>
  <c r="AE45" i="3" s="1"/>
  <c r="AJ16" i="8" s="1"/>
  <c r="AG49" i="6" l="1"/>
  <c r="AH65" i="6"/>
  <c r="AD45" i="3" s="1"/>
  <c r="AI16" i="8" s="1"/>
  <c r="AF49" i="6" l="1"/>
  <c r="AG65" i="6"/>
  <c r="AC45" i="3" s="1"/>
  <c r="AH16" i="8" s="1"/>
  <c r="AE49" i="6" l="1"/>
  <c r="AF65" i="6"/>
  <c r="AB45" i="3" s="1"/>
  <c r="AG16" i="8" s="1"/>
  <c r="AD49" i="6" l="1"/>
  <c r="AE65" i="6"/>
  <c r="AA45" i="3" s="1"/>
  <c r="AF16" i="8" s="1"/>
  <c r="AC49" i="6" l="1"/>
  <c r="AD65" i="6"/>
  <c r="Z45" i="3" s="1"/>
  <c r="AE16" i="8" s="1"/>
  <c r="AB49" i="6" l="1"/>
  <c r="AC65" i="6"/>
  <c r="Y45" i="3" s="1"/>
  <c r="AD16" i="8" s="1"/>
  <c r="AA49" i="6" l="1"/>
  <c r="AB65" i="6"/>
  <c r="X45" i="3" s="1"/>
  <c r="AC16" i="8" s="1"/>
  <c r="Z49" i="6" l="1"/>
  <c r="AA65" i="6"/>
  <c r="W45" i="3" s="1"/>
  <c r="AB16" i="8" s="1"/>
  <c r="Y49" i="6" l="1"/>
  <c r="Z65" i="6"/>
  <c r="V45" i="3" s="1"/>
  <c r="AA16" i="8" s="1"/>
  <c r="AN48" i="6" l="1"/>
  <c r="Y65" i="6"/>
  <c r="U45" i="3" s="1"/>
  <c r="Z16" i="8" l="1"/>
  <c r="B45" i="3"/>
  <c r="D16" i="8" s="1"/>
  <c r="AK48" i="6"/>
  <c r="AN64" i="6"/>
  <c r="AJ44" i="3" s="1"/>
  <c r="AO15" i="8" s="1"/>
  <c r="AJ48" i="6" l="1"/>
  <c r="AK64" i="6"/>
  <c r="AG44" i="3" s="1"/>
  <c r="AL15" i="8" s="1"/>
  <c r="AI48" i="6" l="1"/>
  <c r="AJ64" i="6"/>
  <c r="AF44" i="3" s="1"/>
  <c r="AK15" i="8" s="1"/>
  <c r="AH48" i="6" l="1"/>
  <c r="AI64" i="6"/>
  <c r="AE44" i="3" s="1"/>
  <c r="AJ15" i="8" s="1"/>
  <c r="AG48" i="6" l="1"/>
  <c r="AH64" i="6"/>
  <c r="AD44" i="3" s="1"/>
  <c r="AI15" i="8" s="1"/>
  <c r="AF48" i="6" l="1"/>
  <c r="AG64" i="6"/>
  <c r="AC44" i="3" s="1"/>
  <c r="AH15" i="8" s="1"/>
  <c r="AE48" i="6" l="1"/>
  <c r="AF64" i="6"/>
  <c r="AB44" i="3" s="1"/>
  <c r="AG15" i="8" s="1"/>
  <c r="AD48" i="6" l="1"/>
  <c r="AE64" i="6"/>
  <c r="AA44" i="3" s="1"/>
  <c r="AF15" i="8" s="1"/>
  <c r="AC48" i="6" l="1"/>
  <c r="AD64" i="6"/>
  <c r="Z44" i="3" s="1"/>
  <c r="AE15" i="8" s="1"/>
  <c r="AB48" i="6" l="1"/>
  <c r="AC64" i="6"/>
  <c r="Y44" i="3" s="1"/>
  <c r="AD15" i="8" s="1"/>
  <c r="AA48" i="6" l="1"/>
  <c r="AB64" i="6"/>
  <c r="X44" i="3" s="1"/>
  <c r="AC15" i="8" s="1"/>
  <c r="Z48" i="6" l="1"/>
  <c r="AA64" i="6"/>
  <c r="W44" i="3" s="1"/>
  <c r="AB15" i="8" s="1"/>
  <c r="Y48" i="6" l="1"/>
  <c r="Z64" i="6"/>
  <c r="V44" i="3" s="1"/>
  <c r="AA15" i="8" s="1"/>
  <c r="AN47" i="6" l="1"/>
  <c r="Y64" i="6"/>
  <c r="U44" i="3" s="1"/>
  <c r="Z15" i="8" l="1"/>
  <c r="B44" i="3"/>
  <c r="D15" i="8" s="1"/>
  <c r="AK47" i="6"/>
  <c r="AN63" i="6"/>
  <c r="AJ43" i="3" s="1"/>
  <c r="AO14" i="8" s="1"/>
  <c r="AJ47" i="6" l="1"/>
  <c r="AK63" i="6"/>
  <c r="AG43" i="3" s="1"/>
  <c r="AL14" i="8" s="1"/>
  <c r="AI47" i="6" l="1"/>
  <c r="AJ63" i="6"/>
  <c r="AF43" i="3" s="1"/>
  <c r="AK14" i="8" s="1"/>
  <c r="AH47" i="6" l="1"/>
  <c r="AI63" i="6"/>
  <c r="AE43" i="3" s="1"/>
  <c r="AJ14" i="8" s="1"/>
  <c r="AG47" i="6" l="1"/>
  <c r="AH63" i="6"/>
  <c r="AD43" i="3" s="1"/>
  <c r="AI14" i="8" s="1"/>
  <c r="AF47" i="6" l="1"/>
  <c r="AG63" i="6"/>
  <c r="AC43" i="3" s="1"/>
  <c r="AH14" i="8" s="1"/>
  <c r="AE47" i="6" l="1"/>
  <c r="AF63" i="6"/>
  <c r="AB43" i="3" s="1"/>
  <c r="AG14" i="8" s="1"/>
  <c r="AD47" i="6" l="1"/>
  <c r="AE63" i="6"/>
  <c r="AA43" i="3" s="1"/>
  <c r="AF14" i="8" s="1"/>
  <c r="AC47" i="6" l="1"/>
  <c r="AD63" i="6"/>
  <c r="Z43" i="3" s="1"/>
  <c r="AE14" i="8" s="1"/>
  <c r="AB47" i="6" l="1"/>
  <c r="AC63" i="6"/>
  <c r="Y43" i="3" s="1"/>
  <c r="AD14" i="8" s="1"/>
  <c r="AA47" i="6" l="1"/>
  <c r="AB63" i="6"/>
  <c r="X43" i="3" s="1"/>
  <c r="AC14" i="8" s="1"/>
  <c r="Z47" i="6" l="1"/>
  <c r="AA63" i="6"/>
  <c r="W43" i="3" s="1"/>
  <c r="AB14" i="8" s="1"/>
  <c r="Y47" i="6" l="1"/>
  <c r="Z63" i="6"/>
  <c r="V43" i="3" s="1"/>
  <c r="AA14" i="8" s="1"/>
  <c r="AN46" i="6" l="1"/>
  <c r="Y63" i="6"/>
  <c r="U43" i="3" s="1"/>
  <c r="Z14" i="8" l="1"/>
  <c r="B43" i="3"/>
  <c r="D14" i="8" s="1"/>
  <c r="AK46" i="6"/>
  <c r="AN62" i="6"/>
  <c r="AJ42" i="3" s="1"/>
  <c r="AO13" i="8" s="1"/>
  <c r="AJ46" i="6" l="1"/>
  <c r="AK62" i="6"/>
  <c r="AG42" i="3" s="1"/>
  <c r="AL13" i="8" s="1"/>
  <c r="AI46" i="6" l="1"/>
  <c r="AJ62" i="6"/>
  <c r="AF42" i="3" s="1"/>
  <c r="AK13" i="8" s="1"/>
  <c r="AH46" i="6" l="1"/>
  <c r="AI62" i="6"/>
  <c r="AE42" i="3" s="1"/>
  <c r="AJ13" i="8" s="1"/>
  <c r="AG46" i="6" l="1"/>
  <c r="AH62" i="6"/>
  <c r="AD42" i="3" s="1"/>
  <c r="AI13" i="8" s="1"/>
  <c r="AF46" i="6" l="1"/>
  <c r="AG62" i="6"/>
  <c r="AC42" i="3" s="1"/>
  <c r="AH13" i="8" s="1"/>
  <c r="AE46" i="6" l="1"/>
  <c r="AF62" i="6"/>
  <c r="AB42" i="3" s="1"/>
  <c r="AG13" i="8" s="1"/>
  <c r="AD46" i="6" l="1"/>
  <c r="AE62" i="6"/>
  <c r="AA42" i="3" s="1"/>
  <c r="AF13" i="8" s="1"/>
  <c r="AC46" i="6" l="1"/>
  <c r="AD62" i="6"/>
  <c r="Z42" i="3" s="1"/>
  <c r="AE13" i="8" s="1"/>
  <c r="AB46" i="6" l="1"/>
  <c r="AC62" i="6"/>
  <c r="Y42" i="3" s="1"/>
  <c r="AD13" i="8" s="1"/>
  <c r="AA46" i="6" l="1"/>
  <c r="AB62" i="6"/>
  <c r="X42" i="3" s="1"/>
  <c r="AC13" i="8" s="1"/>
  <c r="Z46" i="6" l="1"/>
  <c r="AA62" i="6"/>
  <c r="W42" i="3" s="1"/>
  <c r="AB13" i="8" s="1"/>
  <c r="Y46" i="6" l="1"/>
  <c r="Z62" i="6"/>
  <c r="V42" i="3" s="1"/>
  <c r="AA13" i="8" s="1"/>
  <c r="AN45" i="6" l="1"/>
  <c r="AN61" i="6" s="1"/>
  <c r="AJ41" i="3" s="1"/>
  <c r="AO12" i="8" s="1"/>
  <c r="Y62" i="6"/>
  <c r="U42" i="3" s="1"/>
  <c r="Z13" i="8" l="1"/>
  <c r="B42" i="3"/>
  <c r="D13" i="8" s="1"/>
  <c r="AK61" i="6"/>
  <c r="AJ45" i="6" l="1"/>
  <c r="AG41" i="3"/>
  <c r="AL12" i="8" s="1"/>
  <c r="AI45" i="6" l="1"/>
  <c r="AJ61" i="6"/>
  <c r="AF41" i="3" s="1"/>
  <c r="AK12" i="8" s="1"/>
  <c r="AH45" i="6" l="1"/>
  <c r="AI61" i="6"/>
  <c r="AE41" i="3" s="1"/>
  <c r="AJ12" i="8" s="1"/>
  <c r="AG45" i="6" l="1"/>
  <c r="AH61" i="6"/>
  <c r="AD41" i="3" s="1"/>
  <c r="AI12" i="8" s="1"/>
  <c r="AF45" i="6" l="1"/>
  <c r="AG61" i="6"/>
  <c r="AC41" i="3" s="1"/>
  <c r="AH12" i="8" s="1"/>
  <c r="AE45" i="6" l="1"/>
  <c r="AF61" i="6"/>
  <c r="AB41" i="3" s="1"/>
  <c r="AG12" i="8" s="1"/>
  <c r="AD45" i="6" l="1"/>
  <c r="AE61" i="6"/>
  <c r="AA41" i="3" s="1"/>
  <c r="AF12" i="8" s="1"/>
  <c r="AC45" i="6" l="1"/>
  <c r="AD61" i="6"/>
  <c r="Z41" i="3" s="1"/>
  <c r="AE12" i="8" s="1"/>
  <c r="AB45" i="6" l="1"/>
  <c r="AC61" i="6"/>
  <c r="Y41" i="3" s="1"/>
  <c r="AD12" i="8" s="1"/>
  <c r="AA45" i="6" l="1"/>
  <c r="AB61" i="6"/>
  <c r="X41" i="3" s="1"/>
  <c r="AC12" i="8" s="1"/>
  <c r="Z45" i="6" l="1"/>
  <c r="AA61" i="6"/>
  <c r="W41" i="3" s="1"/>
  <c r="AB12" i="8" s="1"/>
  <c r="Y45" i="6" l="1"/>
  <c r="Z61" i="6"/>
  <c r="V41" i="3" s="1"/>
  <c r="AA12" i="8" s="1"/>
  <c r="Y61" i="6" l="1"/>
  <c r="U41" i="3" s="1"/>
  <c r="B41" i="3" s="1"/>
  <c r="Z12" i="8" l="1"/>
  <c r="D12" i="8"/>
  <c r="E15" i="8" l="1"/>
  <c r="E21" i="8"/>
  <c r="E16" i="8"/>
  <c r="E18" i="8"/>
  <c r="E13" i="8"/>
  <c r="E20" i="8"/>
  <c r="E23" i="8"/>
  <c r="E12" i="8"/>
  <c r="E17" i="8"/>
  <c r="E19" i="8"/>
  <c r="E14" i="8"/>
  <c r="E2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Cutter</author>
  </authors>
  <commentList>
    <comment ref="F22" authorId="0" shapeId="0" xr:uid="{0CF151B0-B1DF-4C9C-824D-DE3C36B4589C}">
      <text>
        <r>
          <rPr>
            <b/>
            <sz val="12"/>
            <color indexed="81"/>
            <rFont val="Tahoma"/>
            <family val="2"/>
          </rPr>
          <t>Backbone EG rate ($/MMBTU) $0.6798+ 
Backbone rate ($/MMBTU) (Redwood to On-System) $0.1160</t>
        </r>
      </text>
    </comment>
    <comment ref="F23" authorId="0" shapeId="0" xr:uid="{BB98991F-2514-48B9-87B8-9EEAB8E9D010}">
      <text>
        <r>
          <rPr>
            <b/>
            <sz val="9"/>
            <color indexed="81"/>
            <rFont val="Tahoma"/>
            <family val="2"/>
          </rPr>
          <t>http://www.pge.com/tariffs/GRS.SHTML#GRS $1.6971</t>
        </r>
      </text>
    </comment>
    <comment ref="F24" authorId="0" shapeId="0" xr:uid="{708FE08A-61E9-4C2F-A7CA-5A916BD46745}">
      <text>
        <r>
          <rPr>
            <b/>
            <sz val="9"/>
            <color indexed="81"/>
            <rFont val="Tahoma"/>
            <family val="2"/>
          </rPr>
          <t xml:space="preserve">Schedule No. GT-TLS $0.1831 + 
G-BTS4 Interruptible: $0.3207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D600_1</author>
  </authors>
  <commentList>
    <comment ref="B13" authorId="0" shapeId="0" xr:uid="{00000000-0006-0000-0600-000001000000}">
      <text>
        <r>
          <rPr>
            <b/>
            <sz val="8"/>
            <color indexed="81"/>
            <rFont val="Tahoma"/>
            <family val="2"/>
          </rPr>
          <t>D600_1:</t>
        </r>
        <r>
          <rPr>
            <sz val="8"/>
            <color indexed="81"/>
            <rFont val="Tahoma"/>
            <family val="2"/>
          </rPr>
          <t xml:space="preserve">
PG&amp;E LUAF figure includes both LUAF and compression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 Cutter</author>
  </authors>
  <commentList>
    <comment ref="J2" authorId="0" shapeId="0" xr:uid="{FF49B115-A5D9-413C-BB1A-2F84A42315B5}">
      <text>
        <r>
          <rPr>
            <b/>
            <sz val="9"/>
            <color indexed="81"/>
            <rFont val="Tahoma"/>
            <family val="2"/>
          </rPr>
          <t xml:space="preserve">Hub PG&amp;E CityGate
</t>
        </r>
      </text>
    </comment>
    <comment ref="K2" authorId="0" shapeId="0" xr:uid="{F43D05F2-AD6A-4DA2-9AA9-46F8424EB971}">
      <text>
        <r>
          <rPr>
            <b/>
            <sz val="9"/>
            <color indexed="81"/>
            <rFont val="Tahoma"/>
            <family val="2"/>
          </rPr>
          <t xml:space="preserve">Backbone EG rate ($/MMBTU) + 
Backbone rate ($/MMBTU) (Redwood to On-System) </t>
        </r>
        <r>
          <rPr>
            <sz val="9"/>
            <color indexed="81"/>
            <rFont val="Tahoma"/>
            <family val="2"/>
          </rPr>
          <t xml:space="preserve">
 </t>
        </r>
      </text>
    </comment>
    <comment ref="M2" authorId="0" shapeId="0" xr:uid="{3D008DFE-A267-433E-8239-1639899E9B2F}">
      <text>
        <r>
          <rPr>
            <b/>
            <sz val="9"/>
            <color indexed="81"/>
            <rFont val="Tahoma"/>
            <family val="2"/>
          </rPr>
          <t xml:space="preserve">Hub PG&amp;E CityGate
</t>
        </r>
      </text>
    </comment>
    <comment ref="N2" authorId="0" shapeId="0" xr:uid="{DBAB0331-F1C4-40A9-8386-863AA13D5AFB}">
      <text>
        <r>
          <rPr>
            <b/>
            <sz val="9"/>
            <color indexed="81"/>
            <rFont val="Tahoma"/>
            <family val="2"/>
          </rPr>
          <t>Trans/Dist EG rate</t>
        </r>
        <r>
          <rPr>
            <sz val="9"/>
            <color indexed="81"/>
            <rFont val="Tahoma"/>
            <family val="2"/>
          </rPr>
          <t xml:space="preserve">
http://www.pge.com/tariffs/GRS.SHTML#GRS $1.6971
</t>
        </r>
      </text>
    </comment>
    <comment ref="P2" authorId="0" shapeId="0" xr:uid="{00278208-6E29-4289-BB16-D48546849EE8}">
      <text>
        <r>
          <rPr>
            <b/>
            <sz val="9"/>
            <color indexed="81"/>
            <rFont val="Tahoma"/>
            <family val="2"/>
          </rPr>
          <t>Hub: SoCalGas</t>
        </r>
      </text>
    </comment>
    <comment ref="Q2" authorId="0" shapeId="0" xr:uid="{87D75E66-2050-4050-A42E-ABF926F4A77F}">
      <text>
        <r>
          <rPr>
            <b/>
            <sz val="9"/>
            <color indexed="81"/>
            <rFont val="Tahoma"/>
            <family val="2"/>
          </rPr>
          <t>Schedule No. GT-TLS  + 
G-BTS4 Interruptible
California IOU SoCalGas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 Cutter</author>
  </authors>
  <commentList>
    <comment ref="J2" authorId="0" shapeId="0" xr:uid="{C5B2C0FA-41DE-4782-9F67-F26BFBC50420}">
      <text>
        <r>
          <rPr>
            <b/>
            <sz val="9"/>
            <color indexed="81"/>
            <rFont val="Tahoma"/>
            <family val="2"/>
          </rPr>
          <t xml:space="preserve">Hub PG&amp;E CityGate
</t>
        </r>
      </text>
    </comment>
    <comment ref="K2" authorId="0" shapeId="0" xr:uid="{D5BAC511-D20A-4E34-B0B2-4F8E2BD8E67F}">
      <text>
        <r>
          <rPr>
            <b/>
            <sz val="9"/>
            <color indexed="81"/>
            <rFont val="Tahoma"/>
            <family val="2"/>
          </rPr>
          <t xml:space="preserve">Backbone EG rate ($/MMBTU) + 
Backbone rate ($/MMBTU) (Redwood to On-System) </t>
        </r>
        <r>
          <rPr>
            <sz val="9"/>
            <color indexed="81"/>
            <rFont val="Tahoma"/>
            <family val="2"/>
          </rPr>
          <t xml:space="preserve">
 </t>
        </r>
      </text>
    </comment>
    <comment ref="M2" authorId="0" shapeId="0" xr:uid="{9B894FE1-A44E-429C-939D-15C40A8C91C8}">
      <text>
        <r>
          <rPr>
            <b/>
            <sz val="9"/>
            <color indexed="81"/>
            <rFont val="Tahoma"/>
            <family val="2"/>
          </rPr>
          <t xml:space="preserve">Hub PG&amp;E CityGate
</t>
        </r>
      </text>
    </comment>
    <comment ref="N2" authorId="0" shapeId="0" xr:uid="{D5EBFEFD-C2DF-40A1-B97A-92F656A675C5}">
      <text>
        <r>
          <rPr>
            <b/>
            <sz val="9"/>
            <color indexed="81"/>
            <rFont val="Tahoma"/>
            <family val="2"/>
          </rPr>
          <t>Trans/Dist EG rate</t>
        </r>
        <r>
          <rPr>
            <sz val="9"/>
            <color indexed="81"/>
            <rFont val="Tahoma"/>
            <family val="2"/>
          </rPr>
          <t xml:space="preserve">
http://www.pge.com/tariffs/GRS.SHTML#GRS $1.6971
</t>
        </r>
      </text>
    </comment>
    <comment ref="P2" authorId="0" shapeId="0" xr:uid="{5D042E24-0694-4E90-B972-E98DE487FE67}">
      <text>
        <r>
          <rPr>
            <b/>
            <sz val="9"/>
            <color indexed="81"/>
            <rFont val="Tahoma"/>
            <family val="2"/>
          </rPr>
          <t>Hub: SoCalGas</t>
        </r>
      </text>
    </comment>
    <comment ref="Q2" authorId="0" shapeId="0" xr:uid="{84AEFBFD-E8C6-4DEE-939F-400478C6E3B4}">
      <text>
        <r>
          <rPr>
            <b/>
            <sz val="9"/>
            <color indexed="81"/>
            <rFont val="Tahoma"/>
            <family val="2"/>
          </rPr>
          <t>Schedule No. GT-TLS  + 
G-BTS4 Interruptible
California IOU SoCalGas tab</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<sst xmlns="http://schemas.openxmlformats.org/spreadsheetml/2006/main" count="1044" uniqueCount="546">
  <si>
    <t>Natural Gas Customer Shape</t>
  </si>
  <si>
    <t>PG&amp;E</t>
  </si>
  <si>
    <t>SDG&amp;E</t>
  </si>
  <si>
    <t>Residential</t>
  </si>
  <si>
    <t>Commercial</t>
  </si>
  <si>
    <t>January</t>
  </si>
  <si>
    <t>February</t>
  </si>
  <si>
    <t>March</t>
  </si>
  <si>
    <t>April</t>
  </si>
  <si>
    <t>May</t>
  </si>
  <si>
    <t>June</t>
  </si>
  <si>
    <t>July</t>
  </si>
  <si>
    <t>August</t>
  </si>
  <si>
    <t>September</t>
  </si>
  <si>
    <t>October</t>
  </si>
  <si>
    <t>November</t>
  </si>
  <si>
    <t>December</t>
  </si>
  <si>
    <t>Winter Throughput</t>
  </si>
  <si>
    <t>Summer</t>
  </si>
  <si>
    <t>Winter Allocation</t>
  </si>
  <si>
    <t>Summer Allocation</t>
  </si>
  <si>
    <t>Socal Gas</t>
  </si>
  <si>
    <t>Month</t>
  </si>
  <si>
    <t>Utility</t>
  </si>
  <si>
    <t>Class</t>
  </si>
  <si>
    <t>Total Core</t>
  </si>
  <si>
    <t>SoCal Gas</t>
  </si>
  <si>
    <t>Combustor Type</t>
  </si>
  <si>
    <t>Controls</t>
  </si>
  <si>
    <t>Uncontrolled</t>
  </si>
  <si>
    <t>Controlled Low NOx Burner</t>
  </si>
  <si>
    <t>Controlled – Flue Gas Recirculation</t>
  </si>
  <si>
    <t>Therms / MMBtu</t>
  </si>
  <si>
    <t>Loss and Unaccounted For</t>
  </si>
  <si>
    <t>Compression Factor</t>
  </si>
  <si>
    <t>Component Included</t>
  </si>
  <si>
    <t>Market</t>
  </si>
  <si>
    <t>T&amp;D</t>
  </si>
  <si>
    <t>Annualization</t>
  </si>
  <si>
    <t>Environment</t>
  </si>
  <si>
    <t>Average T&amp;D Cost ($/Therm)</t>
  </si>
  <si>
    <t>T&amp;D Allocation
Factor</t>
  </si>
  <si>
    <t>Levelized</t>
  </si>
  <si>
    <t>Large Boilers (&gt;100 MMBtu/hr Heat Input)</t>
  </si>
  <si>
    <t>Small Boilers (&lt;100 MMBtu/hr Heat Input)</t>
  </si>
  <si>
    <t>Residential Funaces (&lt;0.3)</t>
  </si>
  <si>
    <t>NOx (lb/MMBtu)</t>
  </si>
  <si>
    <t>CO2 (lb/MMBtu)</t>
  </si>
  <si>
    <t>Compression</t>
  </si>
  <si>
    <t>Losses and Unaccounted</t>
  </si>
  <si>
    <t>End Use</t>
  </si>
  <si>
    <t>Large Boiler (&gt;100MMBtu/Hr)</t>
  </si>
  <si>
    <t>Small Boiler (&lt;100MMBtu/Hr)</t>
  </si>
  <si>
    <t>Residential Furnace</t>
  </si>
  <si>
    <t>Low Nox Burner</t>
  </si>
  <si>
    <t>Flue Gas Recirculation</t>
  </si>
  <si>
    <t>Emission Control</t>
  </si>
  <si>
    <t>Average Value</t>
  </si>
  <si>
    <t>Nominal $/Therm</t>
  </si>
  <si>
    <t>Transportation Marginal Costs</t>
  </si>
  <si>
    <t>Gas Emissions Rates</t>
  </si>
  <si>
    <t>Gas Emissions Costs</t>
  </si>
  <si>
    <t>Compression Factor and Loss Input</t>
  </si>
  <si>
    <t>Emissions Rates and Costs</t>
  </si>
  <si>
    <t>Gas Transportation Allocation</t>
  </si>
  <si>
    <t>Gas Commodity Costs</t>
  </si>
  <si>
    <t>New Total</t>
  </si>
  <si>
    <t>Sources: PG&amp;E; 2005 SDGE and SoCal Gas BCAPs</t>
  </si>
  <si>
    <t>Report Results in This Years Dollars</t>
  </si>
  <si>
    <t>NOx $/lb</t>
  </si>
  <si>
    <t>PM10 $/lb</t>
  </si>
  <si>
    <t>Emission Cost Nominal $</t>
  </si>
  <si>
    <t>NOx Emissions Cost ($/lb)</t>
  </si>
  <si>
    <t>Nox (lbs / Therm)</t>
  </si>
  <si>
    <t>NOx (lbs/therm)</t>
  </si>
  <si>
    <t>Emission Rate</t>
  </si>
  <si>
    <t>Year</t>
  </si>
  <si>
    <t>All gas prices expressed in nominal dollars</t>
  </si>
  <si>
    <t>Assumed EG Tariff inflation</t>
  </si>
  <si>
    <t>Inputs</t>
  </si>
  <si>
    <t>Gas IOU Transportation Costs ($/Therm)</t>
  </si>
  <si>
    <t>Costs starting in the analysis base year</t>
  </si>
  <si>
    <t>Year column difference</t>
  </si>
  <si>
    <t>Source</t>
  </si>
  <si>
    <t>($/therm)</t>
  </si>
  <si>
    <t>Base yr</t>
  </si>
  <si>
    <t>Gas Transportation Marginal Costs ($/therm, nominal)</t>
  </si>
  <si>
    <t>Monthly allocation of annual average gas T&amp;D cost per therm</t>
  </si>
  <si>
    <t>Active values based on user choices above</t>
  </si>
  <si>
    <t>Levelized Results Settings</t>
  </si>
  <si>
    <t>First year</t>
  </si>
  <si>
    <t>Last Year</t>
  </si>
  <si>
    <t>Years Included</t>
  </si>
  <si>
    <t>Nominal Discount Rate</t>
  </si>
  <si>
    <t>Inflation Rate</t>
  </si>
  <si>
    <t>Intermediate Values</t>
  </si>
  <si>
    <t>Main Inputs</t>
  </si>
  <si>
    <t>Results</t>
  </si>
  <si>
    <t>Levelized Gas Avoided Costs</t>
  </si>
  <si>
    <t>Monthly Gas Avoided Costs</t>
  </si>
  <si>
    <t>Used Inputs selected:</t>
  </si>
  <si>
    <t>Chart titles:</t>
  </si>
  <si>
    <t>PG&amp;E BB</t>
  </si>
  <si>
    <t>PG&amp;E LT</t>
  </si>
  <si>
    <t>SoCal</t>
  </si>
  <si>
    <t>$/therm</t>
  </si>
  <si>
    <t>Jan</t>
  </si>
  <si>
    <t>Feb</t>
  </si>
  <si>
    <t>Mar</t>
  </si>
  <si>
    <t>Apr</t>
  </si>
  <si>
    <t>Jun</t>
  </si>
  <si>
    <t>Jul</t>
  </si>
  <si>
    <t>Aug</t>
  </si>
  <si>
    <t>Sep</t>
  </si>
  <si>
    <t>Oct</t>
  </si>
  <si>
    <t>Nov</t>
  </si>
  <si>
    <t>Dec</t>
  </si>
  <si>
    <t>PG&amp;E BB (Hub PG&amp;E)</t>
  </si>
  <si>
    <t>PG&amp;E LT (Hub PG&amp;E)</t>
  </si>
  <si>
    <t>SoCalGas (Hub SoCalGas)</t>
  </si>
  <si>
    <t>Monthly gas price</t>
  </si>
  <si>
    <t>Transportation rate</t>
  </si>
  <si>
    <t>Burnertip price</t>
  </si>
  <si>
    <t>Average PG&amp;E/SoCalGas</t>
  </si>
  <si>
    <t>1-2017</t>
  </si>
  <si>
    <t>2-2017</t>
  </si>
  <si>
    <t>3-2017</t>
  </si>
  <si>
    <t>4-2017</t>
  </si>
  <si>
    <t>5-2017</t>
  </si>
  <si>
    <t>6-2017</t>
  </si>
  <si>
    <t>7-2017</t>
  </si>
  <si>
    <t>8-2017</t>
  </si>
  <si>
    <t>9-2017</t>
  </si>
  <si>
    <t>10-2017</t>
  </si>
  <si>
    <t>11-2017</t>
  </si>
  <si>
    <t>12-2017</t>
  </si>
  <si>
    <t>1-2018</t>
  </si>
  <si>
    <t>2-2018</t>
  </si>
  <si>
    <t>3-2018</t>
  </si>
  <si>
    <t>4-2018</t>
  </si>
  <si>
    <t>5-2018</t>
  </si>
  <si>
    <t>6-2018</t>
  </si>
  <si>
    <t>7-2018</t>
  </si>
  <si>
    <t>8-2018</t>
  </si>
  <si>
    <t>9-2018</t>
  </si>
  <si>
    <t>10-2018</t>
  </si>
  <si>
    <t>11-2018</t>
  </si>
  <si>
    <t>12-2018</t>
  </si>
  <si>
    <t>1-2019</t>
  </si>
  <si>
    <t>2-2019</t>
  </si>
  <si>
    <t>3-2019</t>
  </si>
  <si>
    <t>4-2019</t>
  </si>
  <si>
    <t>5-2019</t>
  </si>
  <si>
    <t>6-2019</t>
  </si>
  <si>
    <t>7-2019</t>
  </si>
  <si>
    <t>8-2019</t>
  </si>
  <si>
    <t>9-2019</t>
  </si>
  <si>
    <t>10-2019</t>
  </si>
  <si>
    <t>11-2019</t>
  </si>
  <si>
    <t>12-2019</t>
  </si>
  <si>
    <t>1-2020</t>
  </si>
  <si>
    <t>2-2020</t>
  </si>
  <si>
    <t>3-2020</t>
  </si>
  <si>
    <t>4-2020</t>
  </si>
  <si>
    <t>5-2020</t>
  </si>
  <si>
    <t>6-2020</t>
  </si>
  <si>
    <t>7-2020</t>
  </si>
  <si>
    <t>8-2020</t>
  </si>
  <si>
    <t>9-2020</t>
  </si>
  <si>
    <t>10-2020</t>
  </si>
  <si>
    <t>11-2020</t>
  </si>
  <si>
    <t>12-2020</t>
  </si>
  <si>
    <t>1-2021</t>
  </si>
  <si>
    <t>2-2021</t>
  </si>
  <si>
    <t>3-2021</t>
  </si>
  <si>
    <t>4-2021</t>
  </si>
  <si>
    <t>5-2021</t>
  </si>
  <si>
    <t>6-2021</t>
  </si>
  <si>
    <t>7-2021</t>
  </si>
  <si>
    <t>8-2021</t>
  </si>
  <si>
    <t>9-2021</t>
  </si>
  <si>
    <t>10-2021</t>
  </si>
  <si>
    <t>11-2021</t>
  </si>
  <si>
    <t>12-2021</t>
  </si>
  <si>
    <t>1-2022</t>
  </si>
  <si>
    <t>2-2022</t>
  </si>
  <si>
    <t>3-2022</t>
  </si>
  <si>
    <t>4-2022</t>
  </si>
  <si>
    <t>5-2022</t>
  </si>
  <si>
    <t>6-2022</t>
  </si>
  <si>
    <t>7-2022</t>
  </si>
  <si>
    <t>8-2022</t>
  </si>
  <si>
    <t>9-2022</t>
  </si>
  <si>
    <t>10-2022</t>
  </si>
  <si>
    <t>11-2022</t>
  </si>
  <si>
    <t>12-2022</t>
  </si>
  <si>
    <t>1-2023</t>
  </si>
  <si>
    <t>2-2023</t>
  </si>
  <si>
    <t>3-2023</t>
  </si>
  <si>
    <t>4-2023</t>
  </si>
  <si>
    <t>5-2023</t>
  </si>
  <si>
    <t>6-2023</t>
  </si>
  <si>
    <t>7-2023</t>
  </si>
  <si>
    <t>8-2023</t>
  </si>
  <si>
    <t>9-2023</t>
  </si>
  <si>
    <t>10-2023</t>
  </si>
  <si>
    <t>11-2023</t>
  </si>
  <si>
    <t>12-2023</t>
  </si>
  <si>
    <t>1-2024</t>
  </si>
  <si>
    <t>2-2024</t>
  </si>
  <si>
    <t>3-2024</t>
  </si>
  <si>
    <t>4-2024</t>
  </si>
  <si>
    <t>5-2024</t>
  </si>
  <si>
    <t>6-2024</t>
  </si>
  <si>
    <t>7-2024</t>
  </si>
  <si>
    <t>8-2024</t>
  </si>
  <si>
    <t>9-2024</t>
  </si>
  <si>
    <t>10-2024</t>
  </si>
  <si>
    <t>11-2024</t>
  </si>
  <si>
    <t>12-2024</t>
  </si>
  <si>
    <t>1-2025</t>
  </si>
  <si>
    <t>2-2025</t>
  </si>
  <si>
    <t>3-2025</t>
  </si>
  <si>
    <t>4-2025</t>
  </si>
  <si>
    <t>5-2025</t>
  </si>
  <si>
    <t>6-2025</t>
  </si>
  <si>
    <t>7-2025</t>
  </si>
  <si>
    <t>8-2025</t>
  </si>
  <si>
    <t>9-2025</t>
  </si>
  <si>
    <t>10-2025</t>
  </si>
  <si>
    <t>11-2025</t>
  </si>
  <si>
    <t>12-2025</t>
  </si>
  <si>
    <t>1-2026</t>
  </si>
  <si>
    <t>2-2026</t>
  </si>
  <si>
    <t>3-2026</t>
  </si>
  <si>
    <t>4-2026</t>
  </si>
  <si>
    <t>5-2026</t>
  </si>
  <si>
    <t>6-2026</t>
  </si>
  <si>
    <t>7-2026</t>
  </si>
  <si>
    <t>8-2026</t>
  </si>
  <si>
    <t>9-2026</t>
  </si>
  <si>
    <t>10-2026</t>
  </si>
  <si>
    <t>11-2026</t>
  </si>
  <si>
    <t>12-2026</t>
  </si>
  <si>
    <t>1-2027</t>
  </si>
  <si>
    <t>2-2027</t>
  </si>
  <si>
    <t>3-2027</t>
  </si>
  <si>
    <t>4-2027</t>
  </si>
  <si>
    <t>5-2027</t>
  </si>
  <si>
    <t>6-2027</t>
  </si>
  <si>
    <t>7-2027</t>
  </si>
  <si>
    <t>8-2027</t>
  </si>
  <si>
    <t>9-2027</t>
  </si>
  <si>
    <t>10-2027</t>
  </si>
  <si>
    <t>11-2027</t>
  </si>
  <si>
    <t>12-2027</t>
  </si>
  <si>
    <t>1-2028</t>
  </si>
  <si>
    <t>2-2028</t>
  </si>
  <si>
    <t>3-2028</t>
  </si>
  <si>
    <t>4-2028</t>
  </si>
  <si>
    <t>5-2028</t>
  </si>
  <si>
    <t>6-2028</t>
  </si>
  <si>
    <t>7-2028</t>
  </si>
  <si>
    <t>8-2028</t>
  </si>
  <si>
    <t>9-2028</t>
  </si>
  <si>
    <t>10-2028</t>
  </si>
  <si>
    <t>11-2028</t>
  </si>
  <si>
    <t>12-2028</t>
  </si>
  <si>
    <t>1-2029</t>
  </si>
  <si>
    <t>2-2029</t>
  </si>
  <si>
    <t>3-2029</t>
  </si>
  <si>
    <t>4-2029</t>
  </si>
  <si>
    <t>5-2029</t>
  </si>
  <si>
    <t>6-2029</t>
  </si>
  <si>
    <t>7-2029</t>
  </si>
  <si>
    <t>8-2029</t>
  </si>
  <si>
    <t>9-2029</t>
  </si>
  <si>
    <t>10-2029</t>
  </si>
  <si>
    <t>11-2029</t>
  </si>
  <si>
    <t>12-2029</t>
  </si>
  <si>
    <t>1-2030</t>
  </si>
  <si>
    <t>2-2030</t>
  </si>
  <si>
    <t>3-2030</t>
  </si>
  <si>
    <t>4-2030</t>
  </si>
  <si>
    <t>5-2030</t>
  </si>
  <si>
    <t>6-2030</t>
  </si>
  <si>
    <t>7-2030</t>
  </si>
  <si>
    <t>8-2030</t>
  </si>
  <si>
    <t>9-2030</t>
  </si>
  <si>
    <t>10-2030</t>
  </si>
  <si>
    <t>11-2030</t>
  </si>
  <si>
    <t>12-2030</t>
  </si>
  <si>
    <t>1-2031</t>
  </si>
  <si>
    <t>2-2031</t>
  </si>
  <si>
    <t>3-2031</t>
  </si>
  <si>
    <t>4-2031</t>
  </si>
  <si>
    <t>5-2031</t>
  </si>
  <si>
    <t>6-2031</t>
  </si>
  <si>
    <t>7-2031</t>
  </si>
  <si>
    <t>8-2031</t>
  </si>
  <si>
    <t>9-2031</t>
  </si>
  <si>
    <t>10-2031</t>
  </si>
  <si>
    <t>11-2031</t>
  </si>
  <si>
    <t>12-2031</t>
  </si>
  <si>
    <t>1-2032</t>
  </si>
  <si>
    <t>2-2032</t>
  </si>
  <si>
    <t>3-2032</t>
  </si>
  <si>
    <t>4-2032</t>
  </si>
  <si>
    <t>5-2032</t>
  </si>
  <si>
    <t>6-2032</t>
  </si>
  <si>
    <t>7-2032</t>
  </si>
  <si>
    <t>8-2032</t>
  </si>
  <si>
    <t>9-2032</t>
  </si>
  <si>
    <t>10-2032</t>
  </si>
  <si>
    <t>11-2032</t>
  </si>
  <si>
    <t>12-2032</t>
  </si>
  <si>
    <t>1-2033</t>
  </si>
  <si>
    <t>2-2033</t>
  </si>
  <si>
    <t>3-2033</t>
  </si>
  <si>
    <t>4-2033</t>
  </si>
  <si>
    <t>5-2033</t>
  </si>
  <si>
    <t>6-2033</t>
  </si>
  <si>
    <t>7-2033</t>
  </si>
  <si>
    <t>8-2033</t>
  </si>
  <si>
    <t>9-2033</t>
  </si>
  <si>
    <t>10-2033</t>
  </si>
  <si>
    <t>11-2033</t>
  </si>
  <si>
    <t>12-2033</t>
  </si>
  <si>
    <t>1-2034</t>
  </si>
  <si>
    <t>2-2034</t>
  </si>
  <si>
    <t>3-2034</t>
  </si>
  <si>
    <t>4-2034</t>
  </si>
  <si>
    <t>5-2034</t>
  </si>
  <si>
    <t>6-2034</t>
  </si>
  <si>
    <t>7-2034</t>
  </si>
  <si>
    <t>8-2034</t>
  </si>
  <si>
    <t>9-2034</t>
  </si>
  <si>
    <t>10-2034</t>
  </si>
  <si>
    <t>11-2034</t>
  </si>
  <si>
    <t>12-2034</t>
  </si>
  <si>
    <t>1-2035</t>
  </si>
  <si>
    <t>2-2035</t>
  </si>
  <si>
    <t>3-2035</t>
  </si>
  <si>
    <t>4-2035</t>
  </si>
  <si>
    <t>5-2035</t>
  </si>
  <si>
    <t>6-2035</t>
  </si>
  <si>
    <t>7-2035</t>
  </si>
  <si>
    <t>8-2035</t>
  </si>
  <si>
    <t>9-2035</t>
  </si>
  <si>
    <t>10-2035</t>
  </si>
  <si>
    <t>11-2035</t>
  </si>
  <si>
    <t>12-2035</t>
  </si>
  <si>
    <t>1-2036</t>
  </si>
  <si>
    <t>2-2036</t>
  </si>
  <si>
    <t>3-2036</t>
  </si>
  <si>
    <t>4-2036</t>
  </si>
  <si>
    <t>5-2036</t>
  </si>
  <si>
    <t>6-2036</t>
  </si>
  <si>
    <t>7-2036</t>
  </si>
  <si>
    <t>8-2036</t>
  </si>
  <si>
    <t>9-2036</t>
  </si>
  <si>
    <t>10-2036</t>
  </si>
  <si>
    <t>11-2036</t>
  </si>
  <si>
    <t>12-2036</t>
  </si>
  <si>
    <t>Prices in italics in the deflators are extrapolated from the 2019 IEPR implicit deflators using the Excel FORECAST function.</t>
  </si>
  <si>
    <t>An implicit price deflator is the ratio of the current-dollar value of a series, such as gross domestic product (GDP), to its corresponding chained-dollar value, multiplied by 100.</t>
  </si>
  <si>
    <t>http://bea.gov/faq/index.cfm?faq_id=513</t>
  </si>
  <si>
    <t>http://www.bea.gov/glossary/glossary.cfm?key_word=chained_dollar&amp;letter=C#chained_dollar</t>
  </si>
  <si>
    <t>All prices in nominal $/MMBtu</t>
  </si>
  <si>
    <t>CA Gas Price Forecast ($/MMBtu) ($Nominal)</t>
  </si>
  <si>
    <t>California Gas Price Forecast ($/therm) ($Nominal)</t>
  </si>
  <si>
    <t>2019 IEPR Implicit GDP Deflator: 2018</t>
  </si>
  <si>
    <t>Cell Color Coding</t>
  </si>
  <si>
    <t>User Input</t>
  </si>
  <si>
    <t>Calculated Input</t>
  </si>
  <si>
    <t>Dropdown Menu Input</t>
  </si>
  <si>
    <t>Lookup Value</t>
  </si>
  <si>
    <t>Yearly Lookup Value</t>
  </si>
  <si>
    <t>Final Outputs</t>
  </si>
  <si>
    <t>Values hard-coded by macros</t>
  </si>
  <si>
    <t>PG&amp;E Citygate</t>
  </si>
  <si>
    <t>Power Plant Burner Tip Price Forecast</t>
  </si>
  <si>
    <t>File Name</t>
  </si>
  <si>
    <t>Proceeding</t>
  </si>
  <si>
    <t>Proceeding Link</t>
  </si>
  <si>
    <t>Document Link</t>
  </si>
  <si>
    <t>Organization</t>
  </si>
  <si>
    <t>CEC</t>
  </si>
  <si>
    <t>Document Name</t>
  </si>
  <si>
    <t>Document Parent Site</t>
  </si>
  <si>
    <t>Date Accessed</t>
  </si>
  <si>
    <t>Date Published</t>
  </si>
  <si>
    <t>Fuel_Group_Transp_Rates</t>
  </si>
  <si>
    <t>Section/Sheet</t>
  </si>
  <si>
    <t>Header</t>
  </si>
  <si>
    <t>Page/Cell</t>
  </si>
  <si>
    <t>Name</t>
  </si>
  <si>
    <t xml:space="preserve">First Value </t>
  </si>
  <si>
    <t>Units</t>
  </si>
  <si>
    <t>SoCalGas (GT-TLS)</t>
  </si>
  <si>
    <t>SoCalGas (G-BTS4 Interruptible)</t>
  </si>
  <si>
    <t>PG&amp;E (G-AFT Redwood to On-System)</t>
  </si>
  <si>
    <t>PG&amp;E BB (G-EG Backbone Rate)</t>
  </si>
  <si>
    <t>PG&amp;E LT (GRS EG Trans/Dist Rate)</t>
  </si>
  <si>
    <t>SoCalGas (GT-F5D, &gt; 3MM therms/year)</t>
  </si>
  <si>
    <t>California IOUs:SoCalGas</t>
  </si>
  <si>
    <t>$/MMBtu</t>
  </si>
  <si>
    <t>Methane leakage adders</t>
  </si>
  <si>
    <t>Variable</t>
  </si>
  <si>
    <t>Value</t>
  </si>
  <si>
    <t>Note</t>
  </si>
  <si>
    <t>Upstream in-state methane leakage</t>
  </si>
  <si>
    <t>Methane leakage upstream of natural gas power plants. Also applies to programs that change natural gas consumption only.  Methane leakage avoided cost is this percentage times the value of GHG emissions</t>
  </si>
  <si>
    <t>Residential behind-the-meter methane leakage</t>
  </si>
  <si>
    <t>Applies only to programs that eliminate natural gas appliances from a residential building.</t>
  </si>
  <si>
    <t>Active GWP time horizon</t>
  </si>
  <si>
    <t>100-yr</t>
  </si>
  <si>
    <t>Methane leakage GWPs (AR4)</t>
  </si>
  <si>
    <t>20-yr</t>
  </si>
  <si>
    <t>Active GWP</t>
  </si>
  <si>
    <t>Behind-the-meter methane leakage</t>
  </si>
  <si>
    <t>Upstream methane leakage</t>
  </si>
  <si>
    <t>Version 1b</t>
  </si>
  <si>
    <t>Updated CO2 $/ton to match GHG adder in 2020 ACC Electric Model v1b</t>
  </si>
  <si>
    <t>Date</t>
  </si>
  <si>
    <t>Tab</t>
  </si>
  <si>
    <t>First Cell</t>
  </si>
  <si>
    <t xml:space="preserve">Emissions </t>
  </si>
  <si>
    <t>B20</t>
  </si>
  <si>
    <t>Prepared by:</t>
  </si>
  <si>
    <t>Energy and Environmental Economics, Inc.</t>
  </si>
  <si>
    <t>44 Montgomery Street, Suite 1500</t>
  </si>
  <si>
    <t>San Francisco, CA 94104</t>
  </si>
  <si>
    <t>Phone: 415-391-5100</t>
  </si>
  <si>
    <t>Avoided Cost Calculator - Gas</t>
  </si>
  <si>
    <t>Input</t>
  </si>
  <si>
    <t>Lookup Formula</t>
  </si>
  <si>
    <t>Values Pasted from Calculation/Macros</t>
  </si>
  <si>
    <t>Updated tab colors to be consistent with Electric Model</t>
  </si>
  <si>
    <t>Cover</t>
  </si>
  <si>
    <t>Reorganized and renamed first tab to "Cover" to be consistent with Electric Model</t>
  </si>
  <si>
    <t>Version 1c</t>
  </si>
  <si>
    <t>User Dashboard</t>
  </si>
  <si>
    <t>J8</t>
  </si>
  <si>
    <t>Update WACC to 7.68% to be consistent with Electric ACC</t>
  </si>
  <si>
    <t>Methane Leakage</t>
  </si>
  <si>
    <t>C8</t>
  </si>
  <si>
    <t>Update default value to 20-year consistent with Decision</t>
  </si>
  <si>
    <t>IEPR Gas Prices Nominal</t>
  </si>
  <si>
    <t>2020 IEPR (20-IEPR-01)</t>
  </si>
  <si>
    <t>June_2020_Model_CEC-200-2014-008_ADA.xlsm</t>
  </si>
  <si>
    <t>https://www.energy.ca.gov/data-reports/reports/integrated-energy-policy-report/2020-integrated-energy-policy-report-update</t>
  </si>
  <si>
    <t>https://www.energy.ca.gov/programs-and-topics/topics/energy-assessment/natural-gas-burner-tip-prices-california-and-western</t>
  </si>
  <si>
    <t>SNL Gas Prices</t>
  </si>
  <si>
    <t>Updated transporation rate and burnertip prices</t>
  </si>
  <si>
    <t>Updated gas forwards from SNL</t>
  </si>
  <si>
    <t>Updated default value to 100-year</t>
  </si>
  <si>
    <t>Version 1a</t>
  </si>
  <si>
    <t>Choose from dropdown (100-yr default)</t>
  </si>
  <si>
    <t>Updated CO2 $/ton to match GHG adder in 2021 ACC Electric Model v1a</t>
  </si>
  <si>
    <t>Removed the "SNL Gas Prices" tab</t>
  </si>
  <si>
    <t>Commodity</t>
  </si>
  <si>
    <t>G4</t>
  </si>
  <si>
    <t>Updated to stop referencing SNL Gas Prices</t>
  </si>
  <si>
    <t>E243</t>
  </si>
  <si>
    <t xml:space="preserve">Deleted values after year 2036 as there's no data available </t>
  </si>
  <si>
    <t>All prices in 2018 $/MMBtu</t>
  </si>
  <si>
    <t>Gas Transportation Costs ($2018)</t>
  </si>
  <si>
    <t>California EG Gas Price Forecast  ($/MMBtu) ($2018)</t>
  </si>
  <si>
    <t>C20</t>
  </si>
  <si>
    <t>Natural Gas GHG Interim Value based on the costs of building electrification from the CEC report: https://www.energy.ca.gov/publications/2021/california-building-decarbonization-assessment</t>
  </si>
  <si>
    <t>https://www.energy.ca.gov/publications/2021/california-building-decarbonization-assessment</t>
  </si>
  <si>
    <t>Emissions/C20</t>
  </si>
  <si>
    <t>California Building Decarbonization Assessment</t>
  </si>
  <si>
    <t>Figure 15, Page 56</t>
  </si>
  <si>
    <t>Average cost per metric ton ($2020), residential electrification</t>
  </si>
  <si>
    <t>Measure Inputs</t>
  </si>
  <si>
    <t>Subdivision/Development</t>
  </si>
  <si>
    <t>Building Type</t>
  </si>
  <si>
    <t>Project Name</t>
  </si>
  <si>
    <t>SDGE</t>
  </si>
  <si>
    <t>Service Extension ($/service or building)</t>
  </si>
  <si>
    <t>Subdivision</t>
  </si>
  <si>
    <t>Existing</t>
  </si>
  <si>
    <t>New Greenfield</t>
  </si>
  <si>
    <t>Including</t>
  </si>
  <si>
    <t>Excluding</t>
  </si>
  <si>
    <t>Residential Single Family</t>
  </si>
  <si>
    <t>Residential Multi-Family</t>
  </si>
  <si>
    <t>Large Commercial</t>
  </si>
  <si>
    <t>Assumptions</t>
  </si>
  <si>
    <t>Measure Results</t>
  </si>
  <si>
    <t>Small/Medium Commercial</t>
  </si>
  <si>
    <t>Avoided Mainline Extension (ft)</t>
  </si>
  <si>
    <t>Meter ($/meter)</t>
  </si>
  <si>
    <t>Program Year</t>
  </si>
  <si>
    <t>Input Dollar Year</t>
  </si>
  <si>
    <t>Example_Project_Name_PGE</t>
  </si>
  <si>
    <t>Example_Project_Name_SCG</t>
  </si>
  <si>
    <t>Example_Project_Name_SDGE</t>
  </si>
  <si>
    <t>AGIC</t>
  </si>
  <si>
    <t>Created a new tab to calculate Avoided Gas Infrastructure Costs</t>
  </si>
  <si>
    <t>AGIC/D42 and below</t>
  </si>
  <si>
    <t>PGE Gas Infrastructure Cost Estimates</t>
  </si>
  <si>
    <t>Other Inputs/F5</t>
  </si>
  <si>
    <t>Other Inputs/F6</t>
  </si>
  <si>
    <t>Other Inputs/F7</t>
  </si>
  <si>
    <t>AGIC/E42 and below</t>
  </si>
  <si>
    <t>AGIC/F42 and below</t>
  </si>
  <si>
    <t>SDGE Gas Infrastructure Cost Estimates</t>
  </si>
  <si>
    <t>SoCalGas Gas Infrastructure Cost Estimates</t>
  </si>
  <si>
    <t>Page 4</t>
  </si>
  <si>
    <t>Page 6</t>
  </si>
  <si>
    <t>SOUTHERN CALIFORNIA GAS COMPANY &amp; SAN DIEGO GAS &amp; ELECTRIC COMPANY DATA REQUEST FROM ENERGY DIVISION Additional Information Requested (DATA REQUEST ED-AGIC)</t>
  </si>
  <si>
    <t>PGE</t>
  </si>
  <si>
    <t>SoCalGas</t>
  </si>
  <si>
    <t>SoCalGas_SDGE_Response_ED AGIC Data Request (05.20.2022).pdf</t>
  </si>
  <si>
    <t>IntegratedDistributedEnergyResourcesOIR_DR_ED_006-Q001Supp02.pdf</t>
  </si>
  <si>
    <t>PACIFIC GAS AND ELECTRIC COMPANY Integrated Distributed Energy Resources OIR Rulemaking 14-10-003 Data Response</t>
  </si>
  <si>
    <t>Mainline Extension ($/ft)</t>
  </si>
  <si>
    <t>Avoided Gas Commodity Cost with EG transportation costs</t>
  </si>
  <si>
    <t>Average EG  tariff ($/therm) ($2018)</t>
  </si>
  <si>
    <t>Average PG&amp;E/SoCalGas, including Transportation</t>
  </si>
  <si>
    <t>Updated gas forecasts using IEPR real $ and used consistent methodology with IRP to split up transportation rate and gas forecasts</t>
  </si>
  <si>
    <t>Other Inputs</t>
  </si>
  <si>
    <t>G5</t>
  </si>
  <si>
    <t>Corrected the transporation rate basis year to be 2018 based on the CEC model: June_2020_Model_CEC-200-2014-008_ADA.xlsm</t>
  </si>
  <si>
    <t>Updated PG&amp;E discount rate to reflect updated 2021 value. 2021 value was updated after initial release: see https://www.pge.com/tariffs/assets/pdf/adviceletter/GAS_4275-G.pdf</t>
  </si>
  <si>
    <t>IEPR</t>
  </si>
  <si>
    <t>2022 ACC Gas model v1b</t>
  </si>
  <si>
    <t>Avoided Number of Services</t>
  </si>
  <si>
    <t>Avoided Number of Meters</t>
  </si>
  <si>
    <t>CO2 (Tonnes / Therm)</t>
  </si>
  <si>
    <t>CO2 (tonnes/therm)</t>
  </si>
  <si>
    <t>CO2 $/tonne</t>
  </si>
  <si>
    <t>CO2 Cost ($/Tonne)</t>
  </si>
  <si>
    <t>Upstream Methane Leakage Cost ($/Tonne)</t>
  </si>
  <si>
    <t>Behind-the-Meter Methane Leakage Cost ($/Tonne)</t>
  </si>
  <si>
    <t>$/tonne</t>
  </si>
  <si>
    <t>Version v1b</t>
  </si>
  <si>
    <t>F6</t>
  </si>
  <si>
    <t>Updated the unit of gas emission rates from Tons/therm to Tonne/therm</t>
  </si>
  <si>
    <t>Multiple tabs</t>
  </si>
  <si>
    <t>Changed all units from Ton to Tonne</t>
  </si>
  <si>
    <t>A22</t>
  </si>
  <si>
    <t>Deleted comment about the GHG value being a societal value, which is incorrect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</si>
</sst>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_);[Red]\(&quot;$&quot;#,##0.00\)"/>
    <numFmt numFmtId="44" formatCode="_(&quot;$&quot;* #,##0.00_);_(&quot;$&quot;* \(#,##0.00\);_(&quot;$&quot;* &quot;-&quot;??_);_(@_)"/>
    <numFmt numFmtId="43" formatCode="_(* #,##0.00_);_(* \(#,##0.00\);_(* &quot;-&quot;??_);_(@_)"/>
    <numFmt numFmtId="164" formatCode="0.0000%"/>
    <numFmt numFmtId="165" formatCode="_(* #,##0_);_(* \(#,##0\);_(* &quot;-&quot;??_);_(@_)"/>
    <numFmt numFmtId="166" formatCode="0.0000"/>
    <numFmt numFmtId="167" formatCode="_(&quot;$&quot;* #,##0.00000_);_(&quot;$&quot;* \(#,##0.00000\);_(&quot;$&quot;* &quot;-&quot;??_);_(@_)"/>
    <numFmt numFmtId="168" formatCode="_(&quot;$&quot;* #,##0_);_(&quot;$&quot;* \(#,##0\);_(&quot;$&quot;* &quot;-&quot;??_);_(@_)"/>
    <numFmt numFmtId="169" formatCode="&quot;$&quot;#,##0.000"/>
    <numFmt numFmtId="170" formatCode="&quot;$&quot;#,##0.00"/>
    <numFmt numFmtId="171" formatCode="mmmm"/>
    <numFmt numFmtId="172" formatCode="0.0%"/>
    <numFmt numFmtId="173" formatCode="[$-409]mmm\-yy;@"/>
    <numFmt numFmtId="174" formatCode="_(&quot;$&quot;* #,##0.000_);_(&quot;$&quot;* \(#,##0.000\);_(&quot;$&quot;* &quot;-&quot;???_);_(@_)"/>
    <numFmt numFmtId="175" formatCode="0.000"/>
    <numFmt numFmtId="176" formatCode="&quot;$&quot;#,##0.0000"/>
    <numFmt numFmtId="177" formatCode="0.000000"/>
    <numFmt numFmtId="178" formatCode="[$-409]mmmm\ d\,\ yyyy;@"/>
    <numFmt numFmtId="179" formatCode="&quot;$&quot;#,##0.00000"/>
    <numFmt numFmtId="180" formatCode="&quot;$&quot;#,##0.0000_);[Red]\(&quot;$&quot;#,##0.0000\)"/>
    <numFmt numFmtId="181" formatCode="0.00000"/>
  </numFmts>
  <fonts count="87">
    <font>
      <sz val="1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u/>
      <sz val="12"/>
      <color indexed="9"/>
      <name val="Arial"/>
      <family val="2"/>
    </font>
    <font>
      <sz val="8"/>
      <color indexed="81"/>
      <name val="Tahoma"/>
      <family val="2"/>
    </font>
    <font>
      <b/>
      <sz val="8"/>
      <color indexed="81"/>
      <name val="Tahoma"/>
      <family val="2"/>
    </font>
    <font>
      <sz val="8"/>
      <name val="Arial"/>
      <family val="2"/>
    </font>
    <font>
      <b/>
      <sz val="10"/>
      <color theme="1"/>
      <name val="Calibri"/>
      <family val="2"/>
      <scheme val="minor"/>
    </font>
    <font>
      <b/>
      <sz val="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name val="Helv"/>
    </font>
    <font>
      <sz val="7"/>
      <name val="Small Fonts"/>
      <family val="2"/>
    </font>
    <font>
      <sz val="7"/>
      <name val="Small Fonts"/>
      <family val="2"/>
    </font>
    <font>
      <sz val="10"/>
      <name val="Arial"/>
      <family val="2"/>
    </font>
    <font>
      <sz val="11"/>
      <color theme="0"/>
      <name val="Calibri"/>
      <family val="2"/>
      <scheme val="minor"/>
    </font>
    <font>
      <sz val="11"/>
      <name val="Calibri"/>
      <family val="2"/>
    </font>
    <font>
      <b/>
      <sz val="11"/>
      <color theme="0"/>
      <name val="Calibri"/>
      <family val="2"/>
      <scheme val="minor"/>
    </font>
    <font>
      <b/>
      <sz val="10"/>
      <name val="Calibri"/>
      <family val="2"/>
    </font>
    <font>
      <b/>
      <u/>
      <sz val="12"/>
      <color indexed="9"/>
      <name val="Calibri"/>
      <family val="2"/>
      <scheme val="minor"/>
    </font>
    <font>
      <sz val="11"/>
      <name val="Calibri"/>
      <family val="2"/>
      <scheme val="minor"/>
    </font>
    <font>
      <b/>
      <i/>
      <sz val="10"/>
      <name val="Calibri"/>
      <family val="2"/>
      <scheme val="minor"/>
    </font>
    <font>
      <b/>
      <sz val="11"/>
      <name val="Calibri"/>
      <family val="2"/>
    </font>
    <font>
      <b/>
      <sz val="10"/>
      <color rgb="FFFF0000"/>
      <name val="Calibri"/>
      <family val="2"/>
      <scheme val="minor"/>
    </font>
    <font>
      <sz val="10"/>
      <color rgb="FFFF0000"/>
      <name val="Calibri"/>
      <family val="2"/>
    </font>
    <font>
      <sz val="10"/>
      <color rgb="FFFF0000"/>
      <name val="Calibri"/>
      <family val="2"/>
      <scheme val="minor"/>
    </font>
    <font>
      <sz val="11"/>
      <color rgb="FFFF0000"/>
      <name val="Calibri"/>
      <family val="2"/>
    </font>
    <font>
      <i/>
      <sz val="10"/>
      <name val="Calibri"/>
      <family val="2"/>
    </font>
    <font>
      <sz val="8"/>
      <name val="Calibri"/>
      <family val="2"/>
    </font>
    <font>
      <sz val="9"/>
      <color indexed="81"/>
      <name val="Tahoma"/>
      <family val="2"/>
    </font>
    <font>
      <b/>
      <sz val="9"/>
      <color indexed="81"/>
      <name val="Tahoma"/>
      <family val="2"/>
    </font>
    <font>
      <u/>
      <sz val="10"/>
      <color theme="10"/>
      <name val="Calibri"/>
      <family val="2"/>
    </font>
    <font>
      <b/>
      <sz val="11"/>
      <color rgb="FF000000"/>
      <name val="Arial"/>
      <family val="2"/>
    </font>
    <font>
      <b/>
      <sz val="11"/>
      <color rgb="FF000000"/>
      <name val="Calibri"/>
      <family val="2"/>
    </font>
    <font>
      <sz val="11"/>
      <color rgb="FF000000"/>
      <name val="Arial"/>
      <family val="2"/>
    </font>
    <font>
      <i/>
      <sz val="11"/>
      <color rgb="FF000000"/>
      <name val="Arial"/>
      <family val="2"/>
    </font>
    <font>
      <u/>
      <sz val="11"/>
      <color rgb="FF0000FF"/>
      <name val="Calibri"/>
      <family val="2"/>
    </font>
    <font>
      <b/>
      <sz val="10"/>
      <color indexed="9"/>
      <name val="Calibri"/>
      <family val="2"/>
      <scheme val="minor"/>
    </font>
    <font>
      <sz val="10"/>
      <color rgb="FF0000FF"/>
      <name val="Calibri"/>
      <family val="2"/>
      <scheme val="minor"/>
    </font>
    <font>
      <sz val="11"/>
      <color theme="0" tint="-0.34998626667073579"/>
      <name val="Calibri"/>
      <family val="2"/>
      <scheme val="minor"/>
    </font>
    <font>
      <b/>
      <sz val="10"/>
      <color theme="0"/>
      <name val="Calibri"/>
      <family val="2"/>
    </font>
    <font>
      <b/>
      <sz val="11"/>
      <color theme="1"/>
      <name val="Calibri"/>
      <family val="2"/>
      <scheme val="minor"/>
    </font>
    <font>
      <i/>
      <sz val="11"/>
      <color theme="0" tint="-0.249977111117893"/>
      <name val="Calibri"/>
      <family val="2"/>
      <scheme val="minor"/>
    </font>
    <font>
      <sz val="10"/>
      <color theme="1"/>
      <name val="Calibri"/>
      <family val="2"/>
    </font>
    <font>
      <sz val="10"/>
      <color theme="0" tint="-0.14999847407452621"/>
      <name val="Calibri"/>
      <family val="2"/>
    </font>
    <font>
      <sz val="11"/>
      <color theme="0"/>
      <name val="Calibri"/>
      <family val="2"/>
    </font>
    <font>
      <b/>
      <sz val="12"/>
      <color theme="0"/>
      <name val="Calibri"/>
      <family val="2"/>
      <scheme val="minor"/>
    </font>
    <font>
      <sz val="11"/>
      <color rgb="FF000000"/>
      <name val="Calibri"/>
      <family val="2"/>
      <scheme val="minor"/>
    </font>
    <font>
      <i/>
      <sz val="11"/>
      <name val="Calibri"/>
      <family val="2"/>
      <scheme val="minor"/>
    </font>
    <font>
      <sz val="11"/>
      <color theme="2"/>
      <name val="Calibri"/>
      <family val="2"/>
      <scheme val="minor"/>
    </font>
    <font>
      <b/>
      <sz val="10"/>
      <color theme="1"/>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indexed="8"/>
      <name val="Calibri"/>
      <family val="2"/>
    </font>
    <font>
      <b/>
      <sz val="16"/>
      <color theme="1"/>
      <name val="Calibri"/>
      <family val="2"/>
      <scheme val="minor"/>
    </font>
    <font>
      <u/>
      <sz val="11"/>
      <color theme="10"/>
      <name val="Calibri"/>
      <family val="2"/>
      <scheme val="minor"/>
    </font>
    <font>
      <sz val="10"/>
      <color rgb="FF000000"/>
      <name val="ITC Bookman"/>
    </font>
    <font>
      <b/>
      <sz val="20"/>
      <name val="Calibri"/>
      <family val="2"/>
      <scheme val="minor"/>
    </font>
    <font>
      <b/>
      <sz val="12"/>
      <name val="Calibri"/>
      <family val="2"/>
      <scheme val="minor"/>
    </font>
    <font>
      <b/>
      <sz val="10"/>
      <color rgb="FFFF0000"/>
      <name val="Calibri"/>
      <family val="2"/>
    </font>
    <font>
      <sz val="10"/>
      <color theme="4" tint="0.39997558519241921"/>
      <name val="Calibri"/>
      <family val="2"/>
    </font>
    <font>
      <sz val="10"/>
      <name val="Calibri"/>
      <family val="2"/>
    </font>
    <font>
      <u/>
      <sz val="10"/>
      <name val="Calibri"/>
      <family val="2"/>
    </font>
    <font>
      <b/>
      <u/>
      <sz val="12"/>
      <color rgb="FFFF0000"/>
      <name val="Arial"/>
      <family val="2"/>
    </font>
    <font>
      <b/>
      <sz val="12"/>
      <color indexed="81"/>
      <name val="Tahoma"/>
      <family val="2"/>
    </font>
    <font>
      <i/>
      <sz val="11"/>
      <name val="Calibri"/>
      <family val="2"/>
    </font>
    <font>
      <i/>
      <sz val="11"/>
      <color theme="0"/>
      <name val="Calibri"/>
      <family val="2"/>
      <scheme val="minor"/>
    </font>
    <font>
      <i/>
      <sz val="11"/>
      <color theme="2" tint="-0.499984740745262"/>
      <name val="Calibri"/>
      <family val="2"/>
      <scheme val="minor"/>
    </font>
    <font>
      <b/>
      <sz val="11"/>
      <name val="Calibri"/>
      <family val="2"/>
      <scheme val="minor"/>
    </font>
    <font>
      <sz val="11"/>
      <color rgb="FF3F3F3F"/>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56"/>
        <bgColor indexed="64"/>
      </patternFill>
    </fill>
    <fill>
      <patternFill patternType="solid">
        <fgColor rgb="FFFFFFCC"/>
      </patternFill>
    </fill>
    <fill>
      <patternFill patternType="solid">
        <fgColor theme="4"/>
      </patternFill>
    </fill>
    <fill>
      <patternFill patternType="solid">
        <fgColor theme="5" tint="0.59999389629810485"/>
        <bgColor indexed="65"/>
      </patternFill>
    </fill>
    <fill>
      <patternFill patternType="solid">
        <fgColor theme="5" tint="0.79998168889431442"/>
        <bgColor indexed="65"/>
      </patternFill>
    </fill>
    <fill>
      <patternFill patternType="solid">
        <fgColor theme="4"/>
        <bgColor indexed="64"/>
      </patternFill>
    </fill>
    <fill>
      <patternFill patternType="solid">
        <fgColor rgb="FFC0C0C0"/>
        <bgColor indexed="64"/>
      </patternFill>
    </fill>
    <fill>
      <patternFill patternType="solid">
        <fgColor theme="0" tint="-0.14999847407452621"/>
        <bgColor indexed="64"/>
      </patternFill>
    </fill>
    <fill>
      <patternFill patternType="solid">
        <fgColor rgb="FF005070"/>
        <bgColor indexed="64"/>
      </patternFill>
    </fill>
    <fill>
      <patternFill patternType="solid">
        <fgColor indexed="4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99CCFF"/>
        <bgColor indexed="64"/>
      </patternFill>
    </fill>
    <fill>
      <patternFill patternType="solid">
        <fgColor theme="5" tint="0.59999389629810485"/>
        <bgColor indexed="64"/>
      </patternFill>
    </fill>
    <fill>
      <patternFill patternType="solid">
        <fgColor indexed="42"/>
        <bgColor indexed="64"/>
      </patternFill>
    </fill>
    <fill>
      <patternFill patternType="solid">
        <fgColor rgb="FFF2F2F2"/>
        <bgColor indexed="64"/>
      </patternFill>
    </fill>
    <fill>
      <patternFill patternType="solid">
        <fgColor rgb="FF057DB3"/>
        <bgColor indexed="64"/>
      </patternFill>
    </fill>
    <fill>
      <patternFill patternType="solid">
        <fgColor theme="3"/>
        <bgColor indexed="64"/>
      </patternFill>
    </fill>
    <fill>
      <patternFill patternType="solid">
        <fgColor rgb="FFFFFF99"/>
        <bgColor indexed="64"/>
      </patternFill>
    </fill>
    <fill>
      <patternFill patternType="solid">
        <fgColor theme="0"/>
        <bgColor indexed="64"/>
      </patternFill>
    </fill>
    <fill>
      <patternFill patternType="solid">
        <fgColor theme="4"/>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4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auto="1"/>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rgb="FFFFFFFF"/>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7F7F7F"/>
      </left>
      <right style="thin">
        <color rgb="FF7F7F7F"/>
      </right>
      <top/>
      <bottom style="thin">
        <color rgb="FF7F7F7F"/>
      </bottom>
      <diagonal/>
    </border>
    <border>
      <left style="thin">
        <color rgb="FF3F3F3F"/>
      </left>
      <right style="thin">
        <color rgb="FF3F3F3F"/>
      </right>
      <top/>
      <bottom style="thin">
        <color rgb="FF3F3F3F"/>
      </bottom>
      <diagonal/>
    </border>
  </borders>
  <cellStyleXfs count="80">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7" fillId="0" borderId="0" applyFont="0" applyFill="0" applyBorder="0" applyAlignment="0" applyProtection="0"/>
    <xf numFmtId="0" fontId="22" fillId="0" borderId="0"/>
    <xf numFmtId="0" fontId="17" fillId="0" borderId="0" applyNumberFormat="0" applyFill="0" applyBorder="0" applyAlignment="0" applyProtection="0"/>
    <xf numFmtId="0" fontId="7" fillId="0" borderId="0" applyNumberFormat="0" applyFill="0" applyBorder="0" applyAlignment="0" applyProtection="0"/>
    <xf numFmtId="8" fontId="17" fillId="0" borderId="0" applyFont="0" applyFill="0" applyBorder="0" applyAlignment="0" applyProtection="0"/>
    <xf numFmtId="37" fontId="18" fillId="0" borderId="0"/>
    <xf numFmtId="0" fontId="5" fillId="0" borderId="0" applyNumberFormat="0" applyFill="0" applyBorder="0" applyAlignment="0" applyProtection="0"/>
    <xf numFmtId="37" fontId="19" fillId="0" borderId="0"/>
    <xf numFmtId="0" fontId="20" fillId="4" borderId="10" applyNumberFormat="0" applyFont="0" applyAlignment="0" applyProtection="0"/>
    <xf numFmtId="0" fontId="21" fillId="5"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5" fillId="0" borderId="0"/>
    <xf numFmtId="0" fontId="37" fillId="0" borderId="0" applyNumberFormat="0" applyFill="0" applyBorder="0" applyAlignment="0" applyProtection="0"/>
    <xf numFmtId="0" fontId="2" fillId="0" borderId="0"/>
    <xf numFmtId="0" fontId="57" fillId="0" borderId="0" applyNumberFormat="0" applyFill="0" applyBorder="0" applyAlignment="0" applyProtection="0"/>
    <xf numFmtId="0" fontId="58" fillId="0" borderId="36" applyNumberFormat="0" applyFill="0" applyAlignment="0" applyProtection="0"/>
    <xf numFmtId="0" fontId="59" fillId="0" borderId="37" applyNumberFormat="0" applyFill="0" applyAlignment="0" applyProtection="0"/>
    <xf numFmtId="0" fontId="60" fillId="0" borderId="38" applyNumberFormat="0" applyFill="0" applyAlignment="0" applyProtection="0"/>
    <xf numFmtId="0" fontId="60" fillId="0" borderId="0" applyNumberFormat="0" applyFill="0" applyBorder="0" applyAlignment="0" applyProtection="0"/>
    <xf numFmtId="0" fontId="61" fillId="26" borderId="0" applyNumberFormat="0" applyBorder="0" applyAlignment="0" applyProtection="0"/>
    <xf numFmtId="0" fontId="62" fillId="27" borderId="0" applyNumberFormat="0" applyBorder="0" applyAlignment="0" applyProtection="0"/>
    <xf numFmtId="0" fontId="63" fillId="28" borderId="0" applyNumberFormat="0" applyBorder="0" applyAlignment="0" applyProtection="0"/>
    <xf numFmtId="0" fontId="64" fillId="29" borderId="39" applyNumberFormat="0" applyAlignment="0" applyProtection="0"/>
    <xf numFmtId="0" fontId="65" fillId="30" borderId="40" applyNumberFormat="0" applyAlignment="0" applyProtection="0"/>
    <xf numFmtId="0" fontId="66" fillId="30" borderId="39" applyNumberFormat="0" applyAlignment="0" applyProtection="0"/>
    <xf numFmtId="0" fontId="67" fillId="0" borderId="41" applyNumberFormat="0" applyFill="0" applyAlignment="0" applyProtection="0"/>
    <xf numFmtId="0" fontId="23" fillId="31" borderId="42"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47" fillId="0" borderId="43" applyNumberFormat="0" applyFill="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2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2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7" fontId="5" fillId="0" borderId="0">
      <alignment horizontal="left" wrapText="1"/>
    </xf>
    <xf numFmtId="0" fontId="1" fillId="0" borderId="0"/>
    <xf numFmtId="43" fontId="5" fillId="0" borderId="0" applyFont="0" applyFill="0" applyBorder="0" applyAlignment="0" applyProtection="0"/>
    <xf numFmtId="9" fontId="5" fillId="0" borderId="0" applyFont="0" applyFill="0" applyBorder="0" applyAlignment="0" applyProtection="0"/>
    <xf numFmtId="43" fontId="70" fillId="0" borderId="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0" fontId="23" fillId="8" borderId="44" applyNumberFormat="0" applyBorder="0">
      <alignment horizontal="center" vertical="center" wrapText="1"/>
    </xf>
    <xf numFmtId="0" fontId="15" fillId="53" borderId="45" applyNumberFormat="0">
      <alignment horizontal="left" vertical="center"/>
    </xf>
    <xf numFmtId="10" fontId="16" fillId="0" borderId="0" applyFont="0" applyFill="0" applyBorder="0" applyAlignment="0" applyProtection="0"/>
    <xf numFmtId="0" fontId="71" fillId="0" borderId="16"/>
    <xf numFmtId="43" fontId="16" fillId="0" borderId="0" applyFont="0" applyFill="0" applyBorder="0" applyAlignment="0" applyProtection="0"/>
    <xf numFmtId="9" fontId="16" fillId="0" borderId="0" applyFont="0" applyFill="0" applyBorder="0" applyAlignment="0" applyProtection="0"/>
    <xf numFmtId="0" fontId="16" fillId="0" borderId="0"/>
    <xf numFmtId="0" fontId="5" fillId="0" borderId="0"/>
    <xf numFmtId="0" fontId="72" fillId="0" borderId="0" applyNumberFormat="0" applyFill="0" applyBorder="0" applyAlignment="0" applyProtection="0"/>
    <xf numFmtId="0" fontId="73" fillId="0" borderId="0"/>
    <xf numFmtId="0" fontId="1" fillId="4" borderId="10" applyNumberFormat="0" applyFont="0" applyAlignment="0" applyProtection="0"/>
    <xf numFmtId="0" fontId="1" fillId="7" borderId="0" applyNumberFormat="0" applyBorder="0" applyAlignment="0" applyProtection="0"/>
    <xf numFmtId="0" fontId="1" fillId="6" borderId="0" applyNumberFormat="0" applyBorder="0" applyAlignment="0" applyProtection="0"/>
  </cellStyleXfs>
  <cellXfs count="275">
    <xf numFmtId="0" fontId="0" fillId="0" borderId="0" xfId="0"/>
    <xf numFmtId="0" fontId="0" fillId="2" borderId="0" xfId="0" applyFill="1"/>
    <xf numFmtId="8" fontId="0" fillId="2" borderId="0" xfId="0" applyNumberFormat="1" applyFill="1"/>
    <xf numFmtId="170" fontId="0" fillId="2" borderId="0" xfId="0" applyNumberFormat="1" applyFill="1"/>
    <xf numFmtId="0" fontId="0" fillId="3" borderId="0" xfId="0" applyFill="1"/>
    <xf numFmtId="0" fontId="12" fillId="0" borderId="0" xfId="0" applyFont="1"/>
    <xf numFmtId="0" fontId="14" fillId="0" borderId="0" xfId="4" applyNumberFormat="1" applyFont="1" applyFill="1" applyAlignment="1">
      <alignment horizontal="center"/>
    </xf>
    <xf numFmtId="0" fontId="0" fillId="0" borderId="0" xfId="0" applyAlignment="1">
      <alignment horizontal="right"/>
    </xf>
    <xf numFmtId="0" fontId="15" fillId="0" borderId="0" xfId="0" applyFont="1" applyAlignment="1">
      <alignment horizontal="left" indent="1"/>
    </xf>
    <xf numFmtId="0" fontId="16" fillId="0" borderId="0" xfId="0" applyFont="1"/>
    <xf numFmtId="43" fontId="14" fillId="0" borderId="0" xfId="1" applyFont="1" applyFill="1" applyBorder="1" applyAlignment="1">
      <alignment horizontal="left"/>
    </xf>
    <xf numFmtId="0" fontId="14" fillId="0" borderId="0" xfId="0" applyFont="1"/>
    <xf numFmtId="2" fontId="0" fillId="0" borderId="0" xfId="0" applyNumberFormat="1"/>
    <xf numFmtId="1" fontId="0" fillId="0" borderId="0" xfId="0" applyNumberFormat="1"/>
    <xf numFmtId="0" fontId="21" fillId="5" borderId="0" xfId="13"/>
    <xf numFmtId="0" fontId="22" fillId="0" borderId="0" xfId="5"/>
    <xf numFmtId="0" fontId="0" fillId="0" borderId="0" xfId="0" applyAlignment="1">
      <alignment horizontal="left"/>
    </xf>
    <xf numFmtId="0" fontId="21" fillId="5" borderId="0" xfId="13" applyAlignment="1">
      <alignment horizontal="left"/>
    </xf>
    <xf numFmtId="0" fontId="21" fillId="5" borderId="0" xfId="13" applyAlignment="1">
      <alignment horizontal="centerContinuous" wrapText="1"/>
    </xf>
    <xf numFmtId="0" fontId="15" fillId="0" borderId="0" xfId="0" applyFont="1" applyAlignment="1">
      <alignment horizontal="left"/>
    </xf>
    <xf numFmtId="0" fontId="24" fillId="0" borderId="0" xfId="0" applyFont="1"/>
    <xf numFmtId="1" fontId="0" fillId="0" borderId="0" xfId="0" applyNumberFormat="1" applyAlignment="1">
      <alignment horizontal="left" indent="2"/>
    </xf>
    <xf numFmtId="0" fontId="21" fillId="5" borderId="0" xfId="13" applyAlignment="1"/>
    <xf numFmtId="0" fontId="4" fillId="6" borderId="0" xfId="14"/>
    <xf numFmtId="0" fontId="21" fillId="5" borderId="0" xfId="13" applyAlignment="1">
      <alignment vertical="center"/>
    </xf>
    <xf numFmtId="0" fontId="22" fillId="0" borderId="0" xfId="5" applyAlignment="1">
      <alignment horizontal="center"/>
    </xf>
    <xf numFmtId="0" fontId="22" fillId="0" borderId="0" xfId="0" applyFont="1"/>
    <xf numFmtId="0" fontId="22" fillId="0" borderId="0" xfId="0" applyFont="1" applyAlignment="1">
      <alignment horizontal="center"/>
    </xf>
    <xf numFmtId="0" fontId="22" fillId="0" borderId="0" xfId="0" applyFont="1" applyAlignment="1">
      <alignment horizontal="left"/>
    </xf>
    <xf numFmtId="0" fontId="6" fillId="0" borderId="0" xfId="0" applyFont="1" applyAlignment="1">
      <alignment horizontal="right"/>
    </xf>
    <xf numFmtId="9" fontId="0" fillId="0" borderId="0" xfId="3" applyFont="1" applyFill="1" applyBorder="1"/>
    <xf numFmtId="0" fontId="0" fillId="0" borderId="0" xfId="0" applyAlignment="1">
      <alignment horizontal="left" indent="1"/>
    </xf>
    <xf numFmtId="44" fontId="0" fillId="0" borderId="0" xfId="2" applyFont="1" applyFill="1"/>
    <xf numFmtId="8" fontId="0" fillId="0" borderId="0" xfId="0" applyNumberFormat="1"/>
    <xf numFmtId="0" fontId="8" fillId="0" borderId="0" xfId="0" applyFont="1" applyAlignment="1">
      <alignment vertical="center"/>
    </xf>
    <xf numFmtId="0" fontId="13" fillId="0" borderId="0" xfId="0" applyFont="1"/>
    <xf numFmtId="0" fontId="26" fillId="0" borderId="0" xfId="0" applyFont="1" applyAlignment="1">
      <alignment horizontal="center"/>
    </xf>
    <xf numFmtId="0" fontId="14" fillId="0" borderId="2" xfId="0" applyFont="1" applyBorder="1"/>
    <xf numFmtId="43" fontId="14" fillId="0" borderId="0" xfId="0" applyNumberFormat="1" applyFont="1"/>
    <xf numFmtId="0" fontId="14" fillId="0" borderId="3" xfId="0" applyFont="1" applyBorder="1"/>
    <xf numFmtId="0" fontId="14" fillId="0" borderId="8" xfId="0" applyFont="1" applyBorder="1"/>
    <xf numFmtId="168" fontId="27" fillId="0" borderId="0" xfId="2" applyNumberFormat="1" applyFont="1" applyFill="1" applyBorder="1"/>
    <xf numFmtId="0" fontId="27" fillId="0" borderId="0" xfId="2" applyNumberFormat="1" applyFont="1" applyFill="1" applyBorder="1"/>
    <xf numFmtId="0" fontId="27" fillId="0" borderId="0" xfId="1" applyNumberFormat="1" applyFont="1" applyFill="1" applyBorder="1"/>
    <xf numFmtId="167" fontId="14" fillId="0" borderId="0" xfId="0" applyNumberFormat="1" applyFont="1"/>
    <xf numFmtId="165" fontId="14" fillId="0" borderId="0" xfId="1" applyNumberFormat="1" applyFont="1" applyFill="1" applyBorder="1"/>
    <xf numFmtId="0" fontId="21" fillId="5" borderId="0" xfId="13" applyBorder="1"/>
    <xf numFmtId="0" fontId="5" fillId="0" borderId="0" xfId="0" applyFont="1" applyAlignment="1">
      <alignment horizontal="right"/>
    </xf>
    <xf numFmtId="0" fontId="23" fillId="5" borderId="0" xfId="13" applyFont="1"/>
    <xf numFmtId="0" fontId="3" fillId="7" borderId="0" xfId="15" applyAlignment="1">
      <alignment vertical="center"/>
    </xf>
    <xf numFmtId="0" fontId="3" fillId="7" borderId="0" xfId="15"/>
    <xf numFmtId="0" fontId="21" fillId="5" borderId="0" xfId="13" applyAlignment="1">
      <alignment horizontal="right"/>
    </xf>
    <xf numFmtId="0" fontId="28" fillId="0" borderId="0" xfId="5" applyFont="1"/>
    <xf numFmtId="171" fontId="14" fillId="0" borderId="0" xfId="5" applyNumberFormat="1" applyFont="1"/>
    <xf numFmtId="0" fontId="21" fillId="8" borderId="0" xfId="0" applyFont="1" applyFill="1" applyAlignment="1">
      <alignment horizontal="center"/>
    </xf>
    <xf numFmtId="14" fontId="0" fillId="0" borderId="0" xfId="0" applyNumberFormat="1"/>
    <xf numFmtId="0" fontId="29" fillId="0" borderId="0" xfId="0" applyFont="1"/>
    <xf numFmtId="0" fontId="30" fillId="0" borderId="0" xfId="0" applyFont="1"/>
    <xf numFmtId="0" fontId="31" fillId="0" borderId="0" xfId="0" applyFont="1"/>
    <xf numFmtId="0" fontId="32" fillId="0" borderId="0" xfId="5" applyFont="1"/>
    <xf numFmtId="0" fontId="0" fillId="9" borderId="0" xfId="0" applyFill="1"/>
    <xf numFmtId="0" fontId="0" fillId="9" borderId="0" xfId="0" applyFill="1" applyAlignment="1">
      <alignment horizontal="right"/>
    </xf>
    <xf numFmtId="8" fontId="0" fillId="9" borderId="0" xfId="0" applyNumberFormat="1" applyFill="1"/>
    <xf numFmtId="9" fontId="0" fillId="9" borderId="0" xfId="3" applyFont="1" applyFill="1"/>
    <xf numFmtId="0" fontId="32" fillId="0" borderId="0" xfId="0" applyFont="1"/>
    <xf numFmtId="0" fontId="33" fillId="0" borderId="0" xfId="0" applyFont="1" applyAlignment="1">
      <alignment horizontal="right"/>
    </xf>
    <xf numFmtId="0" fontId="0" fillId="0" borderId="0" xfId="0" applyAlignment="1">
      <alignment wrapText="1"/>
    </xf>
    <xf numFmtId="0" fontId="40" fillId="0" borderId="18" xfId="0" applyFont="1" applyBorder="1"/>
    <xf numFmtId="0" fontId="40" fillId="0" borderId="19" xfId="0" applyFont="1" applyBorder="1"/>
    <xf numFmtId="0" fontId="40" fillId="0" borderId="20" xfId="0" applyFont="1" applyBorder="1"/>
    <xf numFmtId="0" fontId="40" fillId="0" borderId="17" xfId="0" applyFont="1" applyBorder="1" applyAlignment="1">
      <alignment horizontal="left"/>
    </xf>
    <xf numFmtId="0" fontId="42" fillId="0" borderId="18" xfId="17" applyFont="1" applyFill="1" applyBorder="1" applyAlignment="1" applyProtection="1"/>
    <xf numFmtId="0" fontId="40" fillId="0" borderId="0" xfId="0" applyFont="1"/>
    <xf numFmtId="175" fontId="0" fillId="0" borderId="0" xfId="0" applyNumberFormat="1"/>
    <xf numFmtId="8" fontId="26" fillId="10" borderId="0" xfId="2" applyNumberFormat="1" applyFont="1" applyFill="1" applyBorder="1"/>
    <xf numFmtId="0" fontId="38" fillId="0" borderId="0" xfId="0" applyFont="1" applyAlignment="1">
      <alignment horizontal="center"/>
    </xf>
    <xf numFmtId="0" fontId="39" fillId="0" borderId="0" xfId="0" applyFont="1" applyAlignment="1">
      <alignment horizontal="center"/>
    </xf>
    <xf numFmtId="175" fontId="40" fillId="0" borderId="0" xfId="0" applyNumberFormat="1" applyFont="1"/>
    <xf numFmtId="175" fontId="41" fillId="0" borderId="0" xfId="0" applyNumberFormat="1" applyFont="1"/>
    <xf numFmtId="0" fontId="21" fillId="0" borderId="0" xfId="13" applyFill="1" applyAlignment="1">
      <alignment vertical="center"/>
    </xf>
    <xf numFmtId="0" fontId="21" fillId="0" borderId="0" xfId="13" applyFill="1"/>
    <xf numFmtId="0" fontId="43" fillId="11" borderId="0" xfId="0" applyFont="1" applyFill="1" applyAlignment="1">
      <alignment horizontal="left" vertical="center"/>
    </xf>
    <xf numFmtId="0" fontId="14" fillId="12" borderId="1" xfId="0" applyFont="1" applyFill="1" applyBorder="1"/>
    <xf numFmtId="0" fontId="14" fillId="12" borderId="4" xfId="0" applyFont="1" applyFill="1" applyBorder="1"/>
    <xf numFmtId="0" fontId="14" fillId="13" borderId="2" xfId="0" applyFont="1" applyFill="1" applyBorder="1"/>
    <xf numFmtId="0" fontId="14" fillId="13" borderId="6" xfId="0" applyFont="1" applyFill="1" applyBorder="1"/>
    <xf numFmtId="0" fontId="14" fillId="14" borderId="2" xfId="0" applyFont="1" applyFill="1" applyBorder="1"/>
    <xf numFmtId="0" fontId="14" fillId="14" borderId="6" xfId="0" applyFont="1" applyFill="1" applyBorder="1"/>
    <xf numFmtId="0" fontId="14" fillId="15" borderId="2" xfId="0" applyFont="1" applyFill="1" applyBorder="1"/>
    <xf numFmtId="0" fontId="14" fillId="15" borderId="6" xfId="0" applyFont="1" applyFill="1" applyBorder="1"/>
    <xf numFmtId="0" fontId="14" fillId="16" borderId="2" xfId="0" applyFont="1" applyFill="1" applyBorder="1"/>
    <xf numFmtId="0" fontId="14" fillId="16" borderId="6" xfId="0" applyFont="1" applyFill="1" applyBorder="1"/>
    <xf numFmtId="0" fontId="14" fillId="17" borderId="2" xfId="0" applyFont="1" applyFill="1" applyBorder="1"/>
    <xf numFmtId="0" fontId="14" fillId="17" borderId="6" xfId="0" applyFont="1" applyFill="1" applyBorder="1"/>
    <xf numFmtId="0" fontId="44" fillId="0" borderId="3" xfId="0" applyFont="1" applyBorder="1"/>
    <xf numFmtId="0" fontId="44" fillId="0" borderId="5" xfId="0" applyFont="1" applyBorder="1"/>
    <xf numFmtId="8" fontId="26" fillId="15" borderId="0" xfId="2" applyNumberFormat="1" applyFont="1" applyFill="1" applyBorder="1"/>
    <xf numFmtId="0" fontId="14" fillId="18" borderId="6" xfId="0" applyFont="1" applyFill="1" applyBorder="1"/>
    <xf numFmtId="0" fontId="45" fillId="0" borderId="0" xfId="13" applyFont="1" applyFill="1" applyAlignment="1">
      <alignment vertical="center"/>
    </xf>
    <xf numFmtId="0" fontId="21" fillId="0" borderId="0" xfId="13" applyFill="1" applyAlignment="1">
      <alignment horizontal="centerContinuous" wrapText="1"/>
    </xf>
    <xf numFmtId="169" fontId="0" fillId="0" borderId="0" xfId="0" applyNumberFormat="1"/>
    <xf numFmtId="169" fontId="14" fillId="0" borderId="0" xfId="0" applyNumberFormat="1" applyFont="1"/>
    <xf numFmtId="0" fontId="21" fillId="19" borderId="0" xfId="0" applyFont="1" applyFill="1" applyAlignment="1">
      <alignment horizontal="center"/>
    </xf>
    <xf numFmtId="0" fontId="0" fillId="0" borderId="0" xfId="0" applyAlignment="1">
      <alignment vertical="center" wrapText="1"/>
    </xf>
    <xf numFmtId="0" fontId="24" fillId="0" borderId="0" xfId="0" applyFont="1" applyAlignment="1">
      <alignment horizontal="center" vertical="center" wrapText="1"/>
    </xf>
    <xf numFmtId="0" fontId="46" fillId="20" borderId="0" xfId="0" applyFont="1" applyFill="1" applyAlignment="1">
      <alignment horizontal="center" vertical="center" wrapText="1"/>
    </xf>
    <xf numFmtId="0" fontId="23" fillId="8" borderId="0" xfId="18" applyFont="1" applyFill="1"/>
    <xf numFmtId="0" fontId="21" fillId="8" borderId="0" xfId="18" applyFont="1" applyFill="1"/>
    <xf numFmtId="0" fontId="2" fillId="0" borderId="0" xfId="18"/>
    <xf numFmtId="0" fontId="26" fillId="0" borderId="7" xfId="18" applyFont="1" applyBorder="1" applyAlignment="1">
      <alignment horizontal="right"/>
    </xf>
    <xf numFmtId="0" fontId="26" fillId="22" borderId="7" xfId="18" applyFont="1" applyFill="1" applyBorder="1" applyAlignment="1">
      <alignment wrapText="1"/>
    </xf>
    <xf numFmtId="0" fontId="26" fillId="22" borderId="7" xfId="18" applyFont="1" applyFill="1" applyBorder="1"/>
    <xf numFmtId="0" fontId="23" fillId="8" borderId="7" xfId="18" applyFont="1" applyFill="1" applyBorder="1"/>
    <xf numFmtId="0" fontId="2" fillId="21" borderId="7" xfId="18" applyFill="1" applyBorder="1" applyAlignment="1">
      <alignment horizontal="center"/>
    </xf>
    <xf numFmtId="0" fontId="47" fillId="10" borderId="7" xfId="18" applyFont="1" applyFill="1" applyBorder="1" applyAlignment="1">
      <alignment horizontal="center"/>
    </xf>
    <xf numFmtId="0" fontId="2" fillId="10" borderId="7" xfId="18" applyFill="1" applyBorder="1" applyAlignment="1">
      <alignment horizontal="center"/>
    </xf>
    <xf numFmtId="0" fontId="48" fillId="0" borderId="0" xfId="18" applyFont="1"/>
    <xf numFmtId="0" fontId="2" fillId="0" borderId="0" xfId="18" applyAlignment="1">
      <alignment horizontal="center"/>
    </xf>
    <xf numFmtId="172" fontId="14" fillId="12" borderId="4" xfId="3" applyNumberFormat="1" applyFont="1" applyFill="1" applyBorder="1" applyAlignment="1">
      <alignment horizontal="center"/>
    </xf>
    <xf numFmtId="9" fontId="14" fillId="12" borderId="11" xfId="3" applyFont="1" applyFill="1" applyBorder="1" applyAlignment="1">
      <alignment horizontal="center"/>
    </xf>
    <xf numFmtId="9" fontId="14" fillId="12" borderId="4" xfId="3" applyFont="1" applyFill="1" applyBorder="1" applyAlignment="1">
      <alignment horizontal="center"/>
    </xf>
    <xf numFmtId="9" fontId="14" fillId="12" borderId="7" xfId="3" applyFont="1" applyFill="1" applyBorder="1" applyAlignment="1">
      <alignment horizontal="center"/>
    </xf>
    <xf numFmtId="9" fontId="14" fillId="12" borderId="9" xfId="3" applyFont="1" applyFill="1" applyBorder="1" applyAlignment="1">
      <alignment horizontal="center"/>
    </xf>
    <xf numFmtId="172" fontId="0" fillId="0" borderId="7" xfId="3" applyNumberFormat="1" applyFont="1" applyBorder="1" applyAlignment="1">
      <alignment horizontal="center"/>
    </xf>
    <xf numFmtId="9" fontId="0" fillId="0" borderId="7" xfId="3" applyFont="1" applyBorder="1" applyAlignment="1">
      <alignment horizontal="center"/>
    </xf>
    <xf numFmtId="0" fontId="0" fillId="0" borderId="7" xfId="0" applyBorder="1" applyAlignment="1">
      <alignment horizontal="left"/>
    </xf>
    <xf numFmtId="8" fontId="26" fillId="21" borderId="7" xfId="2" applyNumberFormat="1" applyFont="1" applyFill="1" applyBorder="1"/>
    <xf numFmtId="8" fontId="26" fillId="10" borderId="7" xfId="2" applyNumberFormat="1" applyFont="1" applyFill="1" applyBorder="1"/>
    <xf numFmtId="0" fontId="21" fillId="8" borderId="8" xfId="0" applyFont="1" applyFill="1" applyBorder="1" applyAlignment="1">
      <alignment horizontal="center"/>
    </xf>
    <xf numFmtId="0" fontId="21" fillId="8" borderId="15" xfId="0" applyFont="1" applyFill="1" applyBorder="1" applyAlignment="1">
      <alignment horizontal="center"/>
    </xf>
    <xf numFmtId="172" fontId="14" fillId="12" borderId="21" xfId="3" applyNumberFormat="1" applyFont="1" applyFill="1" applyBorder="1" applyAlignment="1">
      <alignment horizontal="center"/>
    </xf>
    <xf numFmtId="172" fontId="14" fillId="12" borderId="22" xfId="3" applyNumberFormat="1" applyFont="1" applyFill="1" applyBorder="1" applyAlignment="1">
      <alignment horizontal="center"/>
    </xf>
    <xf numFmtId="172" fontId="14" fillId="12" borderId="23" xfId="3" applyNumberFormat="1" applyFont="1" applyFill="1" applyBorder="1" applyAlignment="1">
      <alignment horizontal="center"/>
    </xf>
    <xf numFmtId="172" fontId="14" fillId="12" borderId="24" xfId="3" applyNumberFormat="1" applyFont="1" applyFill="1" applyBorder="1" applyAlignment="1">
      <alignment horizontal="center"/>
    </xf>
    <xf numFmtId="172" fontId="14" fillId="12" borderId="25" xfId="3" applyNumberFormat="1" applyFont="1" applyFill="1" applyBorder="1" applyAlignment="1">
      <alignment horizontal="center"/>
    </xf>
    <xf numFmtId="0" fontId="0" fillId="0" borderId="27" xfId="0" applyBorder="1" applyAlignment="1">
      <alignment horizontal="left"/>
    </xf>
    <xf numFmtId="8" fontId="26" fillId="21" borderId="27" xfId="2" applyNumberFormat="1" applyFont="1" applyFill="1" applyBorder="1"/>
    <xf numFmtId="8" fontId="26" fillId="10" borderId="27" xfId="2" applyNumberFormat="1" applyFont="1" applyFill="1" applyBorder="1"/>
    <xf numFmtId="8" fontId="26" fillId="10" borderId="28" xfId="2" applyNumberFormat="1" applyFont="1" applyFill="1" applyBorder="1"/>
    <xf numFmtId="8" fontId="26" fillId="10" borderId="30" xfId="2" applyNumberFormat="1" applyFont="1" applyFill="1" applyBorder="1"/>
    <xf numFmtId="0" fontId="0" fillId="0" borderId="32" xfId="0" applyBorder="1" applyAlignment="1">
      <alignment horizontal="left"/>
    </xf>
    <xf numFmtId="8" fontId="26" fillId="21" borderId="32" xfId="2" applyNumberFormat="1" applyFont="1" applyFill="1" applyBorder="1"/>
    <xf numFmtId="8" fontId="26" fillId="10" borderId="32" xfId="2" applyNumberFormat="1" applyFont="1" applyFill="1" applyBorder="1"/>
    <xf numFmtId="8" fontId="26" fillId="10" borderId="33" xfId="2" applyNumberFormat="1" applyFont="1" applyFill="1" applyBorder="1"/>
    <xf numFmtId="8" fontId="26" fillId="10" borderId="7" xfId="2" applyNumberFormat="1" applyFont="1" applyFill="1" applyBorder="1" applyAlignment="1">
      <alignment horizontal="center" vertical="center"/>
    </xf>
    <xf numFmtId="170" fontId="26" fillId="21" borderId="7" xfId="2" applyNumberFormat="1" applyFont="1" applyFill="1" applyBorder="1" applyAlignment="1">
      <alignment horizontal="center" vertical="center"/>
    </xf>
    <xf numFmtId="0" fontId="21" fillId="8" borderId="0" xfId="0" applyFont="1" applyFill="1" applyAlignment="1">
      <alignment horizontal="left"/>
    </xf>
    <xf numFmtId="10" fontId="26" fillId="21" borderId="7" xfId="18" applyNumberFormat="1" applyFont="1" applyFill="1" applyBorder="1" applyAlignment="1">
      <alignment horizontal="center" vertical="center"/>
    </xf>
    <xf numFmtId="10" fontId="22" fillId="21" borderId="7" xfId="3" applyNumberFormat="1" applyFont="1" applyFill="1" applyBorder="1"/>
    <xf numFmtId="10" fontId="22" fillId="21" borderId="7" xfId="3" applyNumberFormat="1" applyFont="1" applyFill="1" applyBorder="1" applyAlignment="1">
      <alignment horizontal="center" vertical="center"/>
    </xf>
    <xf numFmtId="0" fontId="0" fillId="21" borderId="10" xfId="12" applyFont="1" applyFill="1" applyAlignment="1">
      <alignment horizontal="center" vertical="center"/>
    </xf>
    <xf numFmtId="10" fontId="22" fillId="21" borderId="7" xfId="0" applyNumberFormat="1" applyFont="1" applyFill="1" applyBorder="1"/>
    <xf numFmtId="0" fontId="21" fillId="8" borderId="0" xfId="0" applyFont="1" applyFill="1" applyAlignment="1">
      <alignment horizontal="center" wrapText="1"/>
    </xf>
    <xf numFmtId="0" fontId="21" fillId="8" borderId="12" xfId="0" applyFont="1" applyFill="1" applyBorder="1" applyAlignment="1">
      <alignment horizontal="center" wrapText="1"/>
    </xf>
    <xf numFmtId="0" fontId="50" fillId="0" borderId="0" xfId="0" applyFont="1"/>
    <xf numFmtId="0" fontId="40" fillId="0" borderId="34" xfId="0" applyFont="1" applyBorder="1"/>
    <xf numFmtId="0" fontId="53" fillId="0" borderId="0" xfId="0" applyFont="1"/>
    <xf numFmtId="0" fontId="21" fillId="8" borderId="7" xfId="0" applyFont="1" applyFill="1" applyBorder="1" applyAlignment="1">
      <alignment horizontal="center"/>
    </xf>
    <xf numFmtId="0" fontId="21" fillId="23" borderId="7" xfId="0" applyFont="1" applyFill="1" applyBorder="1" applyAlignment="1">
      <alignment horizontal="center"/>
    </xf>
    <xf numFmtId="0" fontId="26" fillId="0" borderId="7" xfId="0" applyFont="1" applyBorder="1" applyAlignment="1">
      <alignment horizontal="center"/>
    </xf>
    <xf numFmtId="2" fontId="26" fillId="0" borderId="7" xfId="0" applyNumberFormat="1" applyFont="1" applyBorder="1" applyAlignment="1">
      <alignment horizontal="center"/>
    </xf>
    <xf numFmtId="0" fontId="53" fillId="0" borderId="7" xfId="0" applyFont="1" applyBorder="1" applyAlignment="1">
      <alignment horizontal="center"/>
    </xf>
    <xf numFmtId="2" fontId="54" fillId="0" borderId="7" xfId="0" applyNumberFormat="1" applyFont="1" applyBorder="1" applyAlignment="1">
      <alignment horizontal="center"/>
    </xf>
    <xf numFmtId="175" fontId="50" fillId="0" borderId="0" xfId="0" applyNumberFormat="1" applyFont="1"/>
    <xf numFmtId="0" fontId="51" fillId="8" borderId="0" xfId="0" applyFont="1" applyFill="1" applyAlignment="1">
      <alignment horizontal="center" vertical="center"/>
    </xf>
    <xf numFmtId="173" fontId="22" fillId="0" borderId="0" xfId="0" applyNumberFormat="1" applyFont="1"/>
    <xf numFmtId="170" fontId="22" fillId="0" borderId="0" xfId="0" applyNumberFormat="1" applyFont="1" applyAlignment="1">
      <alignment horizontal="center"/>
    </xf>
    <xf numFmtId="174" fontId="22" fillId="18" borderId="0" xfId="0" applyNumberFormat="1" applyFont="1" applyFill="1"/>
    <xf numFmtId="0" fontId="7" fillId="0" borderId="0" xfId="0" applyFont="1" applyAlignment="1">
      <alignment horizontal="right"/>
    </xf>
    <xf numFmtId="166" fontId="0" fillId="0" borderId="7" xfId="0" applyNumberFormat="1" applyBorder="1" applyAlignment="1">
      <alignment horizontal="center"/>
    </xf>
    <xf numFmtId="164" fontId="0" fillId="0" borderId="7" xfId="3" applyNumberFormat="1" applyFont="1" applyFill="1" applyBorder="1" applyAlignment="1">
      <alignment horizontal="center"/>
    </xf>
    <xf numFmtId="9" fontId="0" fillId="0" borderId="7" xfId="3" applyFont="1" applyFill="1" applyBorder="1" applyAlignment="1">
      <alignment horizontal="center"/>
    </xf>
    <xf numFmtId="9" fontId="0" fillId="0" borderId="9" xfId="3" applyFont="1" applyFill="1" applyBorder="1" applyAlignment="1">
      <alignment horizontal="center"/>
    </xf>
    <xf numFmtId="9" fontId="0" fillId="0" borderId="35" xfId="3" applyFont="1" applyFill="1" applyBorder="1" applyAlignment="1">
      <alignment horizontal="right"/>
    </xf>
    <xf numFmtId="0" fontId="0" fillId="0" borderId="9" xfId="0" applyBorder="1" applyAlignment="1">
      <alignment horizontal="right"/>
    </xf>
    <xf numFmtId="170" fontId="0" fillId="0" borderId="7" xfId="2" applyNumberFormat="1" applyFont="1" applyFill="1" applyBorder="1" applyAlignment="1">
      <alignment horizontal="center" vertical="center"/>
    </xf>
    <xf numFmtId="0" fontId="21" fillId="5" borderId="0" xfId="13" applyAlignment="1">
      <alignment horizontal="center" vertical="center"/>
    </xf>
    <xf numFmtId="0" fontId="0" fillId="0" borderId="0" xfId="0" applyAlignment="1">
      <alignment horizontal="right" wrapText="1"/>
    </xf>
    <xf numFmtId="0" fontId="24" fillId="0" borderId="0" xfId="0" applyFont="1" applyAlignment="1">
      <alignment horizontal="right" wrapText="1"/>
    </xf>
    <xf numFmtId="0" fontId="21" fillId="5" borderId="0" xfId="13" applyAlignment="1">
      <alignment horizontal="right" vertical="center" wrapText="1"/>
    </xf>
    <xf numFmtId="0" fontId="21" fillId="5" borderId="0" xfId="13" applyAlignment="1">
      <alignment horizontal="center" wrapText="1"/>
    </xf>
    <xf numFmtId="0" fontId="29" fillId="22" borderId="7" xfId="0" applyFont="1" applyFill="1" applyBorder="1" applyAlignment="1">
      <alignment vertical="center"/>
    </xf>
    <xf numFmtId="0" fontId="22" fillId="21" borderId="7" xfId="0" applyFont="1" applyFill="1" applyBorder="1" applyAlignment="1">
      <alignment horizontal="center" vertical="center"/>
    </xf>
    <xf numFmtId="0" fontId="22" fillId="0" borderId="0" xfId="0" applyFont="1" applyAlignment="1">
      <alignment horizontal="right"/>
    </xf>
    <xf numFmtId="10" fontId="22" fillId="21" borderId="7" xfId="0" applyNumberFormat="1" applyFont="1" applyFill="1" applyBorder="1" applyAlignment="1">
      <alignment horizontal="center" vertical="center"/>
    </xf>
    <xf numFmtId="1" fontId="22" fillId="21" borderId="7" xfId="3" applyNumberFormat="1" applyFont="1" applyFill="1" applyBorder="1" applyAlignment="1">
      <alignment horizontal="center" vertical="center"/>
    </xf>
    <xf numFmtId="172" fontId="22" fillId="21" borderId="7" xfId="3" applyNumberFormat="1" applyFont="1" applyFill="1" applyBorder="1" applyAlignment="1">
      <alignment horizontal="center" vertical="center"/>
    </xf>
    <xf numFmtId="8" fontId="22" fillId="0" borderId="0" xfId="3" applyNumberFormat="1" applyFont="1" applyFill="1" applyBorder="1" applyAlignment="1">
      <alignment horizontal="center"/>
    </xf>
    <xf numFmtId="0" fontId="28" fillId="0" borderId="0" xfId="0" applyFont="1" applyAlignment="1">
      <alignment horizontal="right" vertical="center"/>
    </xf>
    <xf numFmtId="0" fontId="55" fillId="0" borderId="0" xfId="0" applyFont="1" applyAlignment="1">
      <alignment horizontal="center"/>
    </xf>
    <xf numFmtId="0" fontId="14" fillId="21" borderId="7" xfId="0" applyFont="1" applyFill="1" applyBorder="1"/>
    <xf numFmtId="0" fontId="14" fillId="0" borderId="0" xfId="0" applyFont="1" applyAlignment="1">
      <alignment wrapText="1"/>
    </xf>
    <xf numFmtId="175" fontId="14" fillId="21" borderId="7" xfId="0" applyNumberFormat="1" applyFont="1" applyFill="1" applyBorder="1" applyAlignment="1">
      <alignment horizontal="center"/>
    </xf>
    <xf numFmtId="1" fontId="14" fillId="21" borderId="7" xfId="0" applyNumberFormat="1" applyFont="1" applyFill="1" applyBorder="1" applyAlignment="1">
      <alignment horizontal="center"/>
    </xf>
    <xf numFmtId="175" fontId="14" fillId="0" borderId="7" xfId="0" applyNumberFormat="1" applyFont="1" applyBorder="1" applyAlignment="1">
      <alignment horizontal="center"/>
    </xf>
    <xf numFmtId="170" fontId="14" fillId="17" borderId="7" xfId="0" applyNumberFormat="1" applyFont="1" applyFill="1" applyBorder="1" applyAlignment="1">
      <alignment horizontal="center"/>
    </xf>
    <xf numFmtId="0" fontId="49" fillId="24" borderId="0" xfId="0" applyFont="1" applyFill="1" applyAlignment="1">
      <alignment horizontal="right"/>
    </xf>
    <xf numFmtId="0" fontId="56" fillId="25" borderId="0" xfId="0" applyFont="1" applyFill="1" applyAlignment="1">
      <alignment horizontal="right" wrapText="1"/>
    </xf>
    <xf numFmtId="0" fontId="56" fillId="25" borderId="0" xfId="0" applyFont="1" applyFill="1" applyAlignment="1">
      <alignment horizontal="right"/>
    </xf>
    <xf numFmtId="0" fontId="74" fillId="22" borderId="0" xfId="0" applyFont="1" applyFill="1"/>
    <xf numFmtId="0" fontId="14" fillId="22" borderId="0" xfId="0" applyFont="1" applyFill="1"/>
    <xf numFmtId="0" fontId="75" fillId="22" borderId="0" xfId="0" applyFont="1" applyFill="1" applyAlignment="1">
      <alignment horizontal="left"/>
    </xf>
    <xf numFmtId="0" fontId="13" fillId="22" borderId="0" xfId="0" applyFont="1" applyFill="1" applyAlignment="1">
      <alignment horizontal="left"/>
    </xf>
    <xf numFmtId="0" fontId="0" fillId="22" borderId="0" xfId="0" applyFill="1"/>
    <xf numFmtId="0" fontId="1" fillId="0" borderId="0" xfId="18" applyFont="1"/>
    <xf numFmtId="0" fontId="76" fillId="0" borderId="0" xfId="0" applyFont="1" applyAlignment="1">
      <alignment horizontal="center" vertical="center" wrapText="1"/>
    </xf>
    <xf numFmtId="0" fontId="77" fillId="0" borderId="0" xfId="0" applyFont="1"/>
    <xf numFmtId="0" fontId="79" fillId="0" borderId="0" xfId="17" applyFont="1" applyAlignment="1">
      <alignment vertical="center" wrapText="1"/>
    </xf>
    <xf numFmtId="170" fontId="22" fillId="21" borderId="7" xfId="2" applyNumberFormat="1" applyFont="1" applyFill="1" applyBorder="1" applyAlignment="1">
      <alignment horizontal="center" vertical="center"/>
    </xf>
    <xf numFmtId="170" fontId="78" fillId="0" borderId="7" xfId="2" applyNumberFormat="1" applyFont="1" applyFill="1" applyBorder="1" applyAlignment="1">
      <alignment horizontal="center" vertical="center"/>
    </xf>
    <xf numFmtId="0" fontId="68" fillId="5" borderId="0" xfId="13" applyFont="1" applyAlignment="1">
      <alignment vertical="center"/>
    </xf>
    <xf numFmtId="0" fontId="80" fillId="0" borderId="0" xfId="0" applyFont="1" applyAlignment="1">
      <alignment vertical="center"/>
    </xf>
    <xf numFmtId="0" fontId="68" fillId="7" borderId="0" xfId="15" applyFont="1" applyAlignment="1">
      <alignment vertical="center"/>
    </xf>
    <xf numFmtId="0" fontId="30" fillId="0" borderId="0" xfId="0" applyFont="1" applyAlignment="1">
      <alignment horizontal="right" wrapText="1"/>
    </xf>
    <xf numFmtId="176" fontId="14" fillId="15" borderId="0" xfId="0" applyNumberFormat="1" applyFont="1" applyFill="1"/>
    <xf numFmtId="0" fontId="26" fillId="0" borderId="0" xfId="13" applyFont="1" applyFill="1" applyAlignment="1">
      <alignment horizontal="left" wrapText="1"/>
    </xf>
    <xf numFmtId="179" fontId="31" fillId="0" borderId="0" xfId="4" applyNumberFormat="1" applyFont="1" applyFill="1" applyBorder="1"/>
    <xf numFmtId="9" fontId="12" fillId="0" borderId="0" xfId="3" applyFont="1" applyFill="1"/>
    <xf numFmtId="0" fontId="46" fillId="0" borderId="0" xfId="0" applyFont="1" applyAlignment="1">
      <alignment horizontal="center" vertical="center" wrapText="1"/>
    </xf>
    <xf numFmtId="14" fontId="0" fillId="0" borderId="0" xfId="0" applyNumberFormat="1" applyAlignment="1">
      <alignment vertical="center" wrapText="1"/>
    </xf>
    <xf numFmtId="166" fontId="22" fillId="13" borderId="7" xfId="5" applyNumberFormat="1" applyFill="1" applyBorder="1" applyAlignment="1">
      <alignment horizontal="center" vertical="center"/>
    </xf>
    <xf numFmtId="44" fontId="78" fillId="0" borderId="0" xfId="2" applyFont="1" applyFill="1"/>
    <xf numFmtId="0" fontId="26" fillId="5" borderId="0" xfId="13" applyFont="1"/>
    <xf numFmtId="0" fontId="78" fillId="0" borderId="0" xfId="0" applyFont="1"/>
    <xf numFmtId="0" fontId="0" fillId="0" borderId="0" xfId="0" applyAlignment="1">
      <alignment horizontal="left" vertical="top"/>
    </xf>
    <xf numFmtId="8" fontId="16" fillId="0" borderId="0" xfId="0" applyNumberFormat="1" applyFont="1"/>
    <xf numFmtId="8" fontId="21" fillId="0" borderId="0" xfId="13" applyNumberFormat="1" applyFill="1"/>
    <xf numFmtId="180" fontId="14" fillId="18" borderId="0" xfId="2" applyNumberFormat="1" applyFont="1" applyFill="1" applyBorder="1"/>
    <xf numFmtId="170" fontId="0" fillId="10" borderId="0" xfId="2" applyNumberFormat="1" applyFont="1" applyFill="1"/>
    <xf numFmtId="170" fontId="0" fillId="15" borderId="0" xfId="2" applyNumberFormat="1" applyFont="1" applyFill="1"/>
    <xf numFmtId="170" fontId="14" fillId="0" borderId="0" xfId="0" applyNumberFormat="1" applyFont="1"/>
    <xf numFmtId="170" fontId="22" fillId="10" borderId="7" xfId="2" applyNumberFormat="1" applyFont="1" applyFill="1" applyBorder="1" applyAlignment="1">
      <alignment horizontal="center" vertical="center"/>
    </xf>
    <xf numFmtId="14" fontId="0" fillId="0" borderId="0" xfId="0" applyNumberFormat="1" applyAlignment="1">
      <alignment wrapText="1"/>
    </xf>
    <xf numFmtId="0" fontId="64" fillId="21" borderId="39" xfId="27" applyFill="1"/>
    <xf numFmtId="0" fontId="28" fillId="0" borderId="0" xfId="0" applyFont="1"/>
    <xf numFmtId="0" fontId="22" fillId="0" borderId="7" xfId="0" applyFont="1" applyBorder="1"/>
    <xf numFmtId="168" fontId="26" fillId="17" borderId="7" xfId="0" applyNumberFormat="1" applyFont="1" applyFill="1" applyBorder="1" applyAlignment="1">
      <alignment horizontal="left"/>
    </xf>
    <xf numFmtId="44" fontId="22" fillId="0" borderId="7" xfId="2" applyFont="1" applyBorder="1"/>
    <xf numFmtId="0" fontId="82" fillId="0" borderId="0" xfId="0" applyFont="1"/>
    <xf numFmtId="0" fontId="23" fillId="0" borderId="0" xfId="13" applyFont="1" applyFill="1"/>
    <xf numFmtId="0" fontId="26" fillId="0" borderId="0" xfId="13" applyFont="1" applyFill="1"/>
    <xf numFmtId="0" fontId="54" fillId="0" borderId="0" xfId="13" applyFont="1" applyFill="1"/>
    <xf numFmtId="0" fontId="83" fillId="0" borderId="0" xfId="13" applyFont="1" applyFill="1"/>
    <xf numFmtId="0" fontId="84" fillId="0" borderId="0" xfId="13" applyFont="1" applyFill="1"/>
    <xf numFmtId="44" fontId="22" fillId="0" borderId="0" xfId="0" applyNumberFormat="1" applyFont="1"/>
    <xf numFmtId="170" fontId="26" fillId="17" borderId="35" xfId="0" applyNumberFormat="1" applyFont="1" applyFill="1" applyBorder="1" applyAlignment="1">
      <alignment horizontal="left"/>
    </xf>
    <xf numFmtId="168" fontId="85" fillId="17" borderId="9" xfId="0" applyNumberFormat="1" applyFont="1" applyFill="1" applyBorder="1" applyAlignment="1">
      <alignment horizontal="left"/>
    </xf>
    <xf numFmtId="0" fontId="23" fillId="5" borderId="7" xfId="13" applyFont="1" applyBorder="1" applyAlignment="1">
      <alignment horizontal="center" vertical="center"/>
    </xf>
    <xf numFmtId="0" fontId="64" fillId="21" borderId="46" xfId="27" applyFill="1" applyBorder="1"/>
    <xf numFmtId="0" fontId="21" fillId="5" borderId="7" xfId="13" applyBorder="1" applyAlignment="1">
      <alignment horizontal="center" vertical="center"/>
    </xf>
    <xf numFmtId="0" fontId="64" fillId="21" borderId="7" xfId="27" applyFill="1" applyBorder="1"/>
    <xf numFmtId="9" fontId="86" fillId="30" borderId="47" xfId="28" applyNumberFormat="1" applyFont="1" applyBorder="1"/>
    <xf numFmtId="44" fontId="22" fillId="0" borderId="9" xfId="2" applyFont="1" applyBorder="1"/>
    <xf numFmtId="0" fontId="21" fillId="5" borderId="0" xfId="13" applyBorder="1" applyAlignment="1">
      <alignment vertical="center"/>
    </xf>
    <xf numFmtId="0" fontId="22" fillId="0" borderId="35" xfId="0" applyFont="1" applyBorder="1"/>
    <xf numFmtId="0" fontId="22" fillId="0" borderId="9" xfId="0" applyFont="1" applyBorder="1"/>
    <xf numFmtId="169" fontId="12" fillId="0" borderId="0" xfId="0" applyNumberFormat="1" applyFont="1" applyAlignment="1">
      <alignment horizontal="left"/>
    </xf>
    <xf numFmtId="181" fontId="14" fillId="0" borderId="7" xfId="0" applyNumberFormat="1" applyFont="1" applyBorder="1" applyAlignment="1">
      <alignment horizontal="center"/>
    </xf>
    <xf numFmtId="16" fontId="0" fillId="0" borderId="0" xfId="0" applyNumberFormat="1"/>
    <xf numFmtId="0" fontId="14" fillId="22" borderId="0" xfId="0" applyFont="1" applyFill="1" applyAlignment="1">
      <alignment horizontal="left"/>
    </xf>
    <xf numFmtId="178" fontId="14" fillId="0" borderId="0" xfId="0" applyNumberFormat="1" applyFont="1" applyAlignment="1">
      <alignment horizontal="left"/>
    </xf>
    <xf numFmtId="0" fontId="8" fillId="3" borderId="0" xfId="0" applyFont="1" applyFill="1" applyAlignment="1">
      <alignment horizontal="center" vertical="center"/>
    </xf>
    <xf numFmtId="0" fontId="21" fillId="8" borderId="12" xfId="0" applyFont="1" applyFill="1" applyBorder="1" applyAlignment="1">
      <alignment horizontal="center"/>
    </xf>
    <xf numFmtId="0" fontId="21" fillId="8" borderId="13" xfId="0" applyFont="1" applyFill="1" applyBorder="1" applyAlignment="1">
      <alignment horizontal="center"/>
    </xf>
    <xf numFmtId="0" fontId="21" fillId="8" borderId="14" xfId="0" applyFont="1" applyFill="1" applyBorder="1" applyAlignment="1">
      <alignment horizontal="center"/>
    </xf>
    <xf numFmtId="0" fontId="0" fillId="0" borderId="26" xfId="0" applyBorder="1" applyAlignment="1">
      <alignment horizontal="right" vertical="center"/>
    </xf>
    <xf numFmtId="0" fontId="0" fillId="0" borderId="29" xfId="0" applyBorder="1" applyAlignment="1">
      <alignment horizontal="right" vertical="center"/>
    </xf>
    <xf numFmtId="0" fontId="0" fillId="0" borderId="31" xfId="0" applyBorder="1" applyAlignment="1">
      <alignment horizontal="right" vertical="center"/>
    </xf>
    <xf numFmtId="0" fontId="25" fillId="0" borderId="0" xfId="0" applyFont="1" applyAlignment="1">
      <alignment horizontal="center" vertical="center"/>
    </xf>
    <xf numFmtId="0" fontId="21" fillId="8" borderId="7" xfId="18" applyFont="1" applyFill="1" applyBorder="1" applyAlignment="1">
      <alignment horizontal="center"/>
    </xf>
    <xf numFmtId="0" fontId="51" fillId="8" borderId="0" xfId="0" applyFont="1" applyFill="1" applyAlignment="1">
      <alignment horizontal="center" wrapText="1"/>
    </xf>
    <xf numFmtId="0" fontId="52" fillId="8" borderId="8" xfId="0" applyFont="1" applyFill="1" applyBorder="1" applyAlignment="1">
      <alignment horizontal="center" wrapText="1"/>
    </xf>
    <xf numFmtId="0" fontId="52" fillId="8" borderId="0" xfId="0" applyFont="1" applyFill="1" applyAlignment="1">
      <alignment horizontal="center" wrapText="1"/>
    </xf>
    <xf numFmtId="0" fontId="51" fillId="8" borderId="0" xfId="0" applyFont="1" applyFill="1" applyAlignment="1">
      <alignment horizontal="center" vertical="center"/>
    </xf>
    <xf numFmtId="0" fontId="51" fillId="8" borderId="0" xfId="0" applyFont="1" applyFill="1" applyAlignment="1">
      <alignment horizontal="center" vertical="center" wrapText="1"/>
    </xf>
  </cellXfs>
  <cellStyles count="80">
    <cellStyle name="_x0010_“+ˆÉ•?pý¤" xfId="7" xr:uid="{00000000-0005-0000-0000-000000000000}"/>
    <cellStyle name="_x0010_“+ˆÉ•?pý¤ 2" xfId="10" xr:uid="{00000000-0005-0000-0000-000001000000}"/>
    <cellStyle name="20% - Accent1" xfId="35" builtinId="30" customBuiltin="1"/>
    <cellStyle name="20% - Accent2" xfId="15" builtinId="34"/>
    <cellStyle name="20% - Accent2 2" xfId="78" xr:uid="{E9FEE939-526A-49F1-BD2F-A5869931E2E4}"/>
    <cellStyle name="20% - Accent3" xfId="41" builtinId="38" customBuiltin="1"/>
    <cellStyle name="20% - Accent4" xfId="45" builtinId="42" customBuiltin="1"/>
    <cellStyle name="20% - Accent5" xfId="49" builtinId="46" customBuiltin="1"/>
    <cellStyle name="20% - Accent6" xfId="53" builtinId="50" customBuiltin="1"/>
    <cellStyle name="40% - Accent1" xfId="36" builtinId="31" customBuiltin="1"/>
    <cellStyle name="40% - Accent2" xfId="14" builtinId="35"/>
    <cellStyle name="40% - Accent2 2" xfId="79" xr:uid="{920147EA-54AC-4E81-9500-541AD858ACB1}"/>
    <cellStyle name="40% - Accent3" xfId="42" builtinId="39" customBuiltin="1"/>
    <cellStyle name="40% - Accent4" xfId="46" builtinId="43" customBuiltin="1"/>
    <cellStyle name="40% - Accent5" xfId="50" builtinId="47" customBuiltin="1"/>
    <cellStyle name="40% - Accent6" xfId="54" builtinId="51" customBuiltin="1"/>
    <cellStyle name="60% - Accent1" xfId="37" builtinId="32" customBuiltin="1"/>
    <cellStyle name="60% - Accent2" xfId="39" builtinId="36" customBuiltin="1"/>
    <cellStyle name="60% - Accent3" xfId="43" builtinId="40" customBuiltin="1"/>
    <cellStyle name="60% - Accent4" xfId="47" builtinId="44" customBuiltin="1"/>
    <cellStyle name="60% - Accent5" xfId="51" builtinId="48" customBuiltin="1"/>
    <cellStyle name="60% - Accent6" xfId="55" builtinId="52" customBuiltin="1"/>
    <cellStyle name="Accent1" xfId="13" builtinId="29" customBuiltin="1"/>
    <cellStyle name="Accent2" xfId="38" builtinId="33" customBuiltin="1"/>
    <cellStyle name="Accent3" xfId="40" builtinId="37" customBuiltin="1"/>
    <cellStyle name="Accent4" xfId="44" builtinId="41" customBuiltin="1"/>
    <cellStyle name="Accent5" xfId="48" builtinId="45" customBuiltin="1"/>
    <cellStyle name="Accent6" xfId="52" builtinId="49" customBuiltin="1"/>
    <cellStyle name="Bad" xfId="25" builtinId="27" customBuiltin="1"/>
    <cellStyle name="Calculation" xfId="29" builtinId="22" customBuiltin="1"/>
    <cellStyle name="Check Cell" xfId="31" builtinId="23" customBuiltin="1"/>
    <cellStyle name="Comma" xfId="1" builtinId="3"/>
    <cellStyle name="Comma 18" xfId="62" xr:uid="{CA6322C6-15CC-4507-8EF6-DE68DA51B7C6}"/>
    <cellStyle name="Comma 2" xfId="4" xr:uid="{00000000-0005-0000-0000-000006000000}"/>
    <cellStyle name="Comma 2 2" xfId="71" xr:uid="{E0901555-5B06-4344-831C-9D7BD406C4B1}"/>
    <cellStyle name="Comma 3" xfId="57" xr:uid="{9788B714-B3FA-445B-81CC-F650A541605F}"/>
    <cellStyle name="Comma 5" xfId="64" xr:uid="{CC1C5F8E-B696-456B-B2BC-6D85F59C6CB6}"/>
    <cellStyle name="Currency" xfId="2" builtinId="4"/>
    <cellStyle name="Currency 2" xfId="8" xr:uid="{00000000-0005-0000-0000-000008000000}"/>
    <cellStyle name="Currency 3" xfId="58" xr:uid="{A30CCD09-559A-4770-A458-EFD8D18DA1FC}"/>
    <cellStyle name="Explanatory Text" xfId="33" builtinId="53" customBuiltin="1"/>
    <cellStyle name="Good" xfId="24" builtinId="26" customBuiltin="1"/>
    <cellStyle name="Heading" xfId="67" xr:uid="{583D189F-99AD-4D42-A01E-22B6F6A12A49}"/>
    <cellStyle name="Heading 1" xfId="20" builtinId="16" customBuiltin="1"/>
    <cellStyle name="Heading 2" xfId="21" builtinId="17" customBuiltin="1"/>
    <cellStyle name="Heading 3" xfId="22" builtinId="18" customBuiltin="1"/>
    <cellStyle name="Heading 4" xfId="23" builtinId="19" customBuiltin="1"/>
    <cellStyle name="Hyperlink" xfId="17" builtinId="8"/>
    <cellStyle name="Hyperlink 2" xfId="75" xr:uid="{9E108085-1061-443C-B3F3-29C2AF15C96B}"/>
    <cellStyle name="Input" xfId="27" builtinId="20" customBuiltin="1"/>
    <cellStyle name="Linked Cell" xfId="30" builtinId="24" customBuiltin="1"/>
    <cellStyle name="Neutral" xfId="26" builtinId="28" customBuiltin="1"/>
    <cellStyle name="no dec" xfId="9" xr:uid="{00000000-0005-0000-0000-000009000000}"/>
    <cellStyle name="no dec 2" xfId="11" xr:uid="{00000000-0005-0000-0000-00000A000000}"/>
    <cellStyle name="Normal" xfId="0" builtinId="0" customBuiltin="1"/>
    <cellStyle name="Normal 16" xfId="5" xr:uid="{00000000-0005-0000-0000-00000C000000}"/>
    <cellStyle name="Normal 2" xfId="6" xr:uid="{00000000-0005-0000-0000-00000D000000}"/>
    <cellStyle name="Normal 2 2" xfId="74" xr:uid="{D9FCF1FC-7A67-441B-AB40-5296B8924150}"/>
    <cellStyle name="Normal 3" xfId="16" xr:uid="{AFFEE163-7550-408E-BE77-53D72AA77F6A}"/>
    <cellStyle name="Normal 3 2" xfId="76" xr:uid="{0B1D5975-C95C-45FC-ADDE-74A494546FE6}"/>
    <cellStyle name="Normal 30 2" xfId="60" xr:uid="{C49F5BAD-5158-4E81-A0B5-6481B49E647B}"/>
    <cellStyle name="Normal 4" xfId="18" xr:uid="{3973A72E-A931-490E-A096-CEF32F34C570}"/>
    <cellStyle name="Normal 4 2" xfId="73" xr:uid="{B306E99B-508B-4A98-A843-3F98A0A361B9}"/>
    <cellStyle name="Normal 5" xfId="56" xr:uid="{6017FA8C-B695-4667-A646-9F41261AC263}"/>
    <cellStyle name="Normal 5 2 2" xfId="61" xr:uid="{125FBB5C-20F4-40EE-85B8-1A668E9CE75E}"/>
    <cellStyle name="Note" xfId="12" builtinId="10"/>
    <cellStyle name="Note 2" xfId="77" xr:uid="{A291D004-BF91-4422-AD05-890E0998A3EA}"/>
    <cellStyle name="Output" xfId="28" builtinId="21" customBuiltin="1"/>
    <cellStyle name="Percent" xfId="3" builtinId="5"/>
    <cellStyle name="Percent 10" xfId="63" xr:uid="{33A12D91-9531-4C0C-A7B1-645D90828002}"/>
    <cellStyle name="Percent 14" xfId="65" xr:uid="{F0D634B2-4745-4733-AC61-7819B86E020B}"/>
    <cellStyle name="Percent 2" xfId="69" xr:uid="{828023F3-E0ED-4D5C-B11C-6C01872F6332}"/>
    <cellStyle name="Percent 2 10" xfId="66" xr:uid="{94B28A0D-69B6-4E1F-B75B-9B127CAFEAA0}"/>
    <cellStyle name="Percent 2 2" xfId="72" xr:uid="{2A104AD2-32FD-4C1B-B480-5177B1CC3619}"/>
    <cellStyle name="Percent 3" xfId="59" xr:uid="{6075FB6E-56A6-4286-8CBF-441CF0606F2F}"/>
    <cellStyle name="Results" xfId="68" xr:uid="{E546C2F6-53C9-4BAB-8862-C1089EF1FEF3}"/>
    <cellStyle name="Subtitle" xfId="70" xr:uid="{84957F7A-4D33-4300-A182-ACC11DF49A9E}"/>
    <cellStyle name="Title" xfId="19" builtinId="15" customBuiltin="1"/>
    <cellStyle name="Total" xfId="34" builtinId="25" customBuiltin="1"/>
    <cellStyle name="Warning Text" xfId="32" builtinId="11" customBuiltin="1"/>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99"/>
      <color rgb="FF99CCFF"/>
      <color rgb="FFC0C0C0"/>
      <color rgb="FF057DB3"/>
      <color rgb="FFF2F2F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Output!$S$5</c:f>
          <c:strCache>
            <c:ptCount val="1"/>
            <c:pt idx="0">
              <c:v>Levelized Gas Avoided Costs: PG&amp;E, Residential, Residential Furnace, Uncontrolled</c:v>
            </c:pt>
          </c:strCache>
        </c:strRef>
      </c:tx>
      <c:layout>
        <c:manualLayout>
          <c:xMode val="edge"/>
          <c:yMode val="edge"/>
          <c:x val="0.11602230810872055"/>
          <c:y val="3.48837209302325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232076988513229"/>
          <c:y val="0.27906976744186046"/>
          <c:w val="0.76304577949855723"/>
          <c:h val="0.5"/>
        </c:manualLayout>
      </c:layout>
      <c:lineChart>
        <c:grouping val="standard"/>
        <c:varyColors val="0"/>
        <c:ser>
          <c:idx val="0"/>
          <c:order val="0"/>
          <c:tx>
            <c:strRef>
              <c:f>Output!$D$11</c:f>
              <c:strCache>
                <c:ptCount val="1"/>
                <c:pt idx="0">
                  <c:v>New Total</c:v>
                </c:pt>
              </c:strCache>
            </c:strRef>
          </c:tx>
          <c:spPr>
            <a:ln w="28575" cap="rnd">
              <a:solidFill>
                <a:schemeClr val="accent1"/>
              </a:solidFill>
              <a:round/>
            </a:ln>
            <a:effectLst/>
          </c:spPr>
          <c:marker>
            <c:symbol val="none"/>
          </c:marker>
          <c:cat>
            <c:strRef>
              <c:f>Output!$C$12:$C$23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Output!$D$12:$D$23</c:f>
              <c:numCache>
                <c:formatCode>"$"#,##0.00_);[Red]\("$"#,##0.00\)</c:formatCode>
                <c:ptCount val="12"/>
                <c:pt idx="0">
                  <c:v>2.7943032150879512</c:v>
                </c:pt>
                <c:pt idx="1">
                  <c:v>2.8049783790363199</c:v>
                </c:pt>
                <c:pt idx="2">
                  <c:v>2.7497097704927462</c:v>
                </c:pt>
                <c:pt idx="3">
                  <c:v>2.3218908981177915</c:v>
                </c:pt>
                <c:pt idx="4">
                  <c:v>2.3461670491477156</c:v>
                </c:pt>
                <c:pt idx="5">
                  <c:v>2.330294436422415</c:v>
                </c:pt>
                <c:pt idx="6">
                  <c:v>2.3350797801195911</c:v>
                </c:pt>
                <c:pt idx="7">
                  <c:v>2.3388098073838726</c:v>
                </c:pt>
                <c:pt idx="8">
                  <c:v>2.2962240762940223</c:v>
                </c:pt>
                <c:pt idx="9">
                  <c:v>2.3005193342595769</c:v>
                </c:pt>
                <c:pt idx="10">
                  <c:v>2.7197086873402871</c:v>
                </c:pt>
                <c:pt idx="11">
                  <c:v>2.7654719085012376</c:v>
                </c:pt>
              </c:numCache>
            </c:numRef>
          </c:val>
          <c:smooth val="0"/>
          <c:extLst>
            <c:ext xmlns:c16="http://schemas.microsoft.com/office/drawing/2014/chart" uri="{C3380CC4-5D6E-409C-BE32-E72D297353CC}">
              <c16:uniqueId val="{00000000-6001-4C1B-880B-FE43F7862C05}"/>
            </c:ext>
          </c:extLst>
        </c:ser>
        <c:dLbls>
          <c:showLegendKey val="0"/>
          <c:showVal val="0"/>
          <c:showCatName val="0"/>
          <c:showSerName val="0"/>
          <c:showPercent val="0"/>
          <c:showBubbleSize val="0"/>
        </c:dLbls>
        <c:smooth val="0"/>
        <c:axId val="433030656"/>
        <c:axId val="564428800"/>
      </c:lineChart>
      <c:catAx>
        <c:axId val="43303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4428800"/>
        <c:crosses val="autoZero"/>
        <c:auto val="1"/>
        <c:lblAlgn val="ctr"/>
        <c:lblOffset val="100"/>
        <c:tickLblSkip val="1"/>
        <c:tickMarkSkip val="1"/>
        <c:noMultiLvlLbl val="0"/>
      </c:catAx>
      <c:valAx>
        <c:axId val="56442880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Avoided Cost (Levelized $/Therm)</a:t>
                </a:r>
              </a:p>
            </c:rich>
          </c:tx>
          <c:layout>
            <c:manualLayout>
              <c:xMode val="edge"/>
              <c:yMode val="edge"/>
              <c:x val="2.9465983011738556E-2"/>
              <c:y val="0.174418604651162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_);[Red]\(&quot;$&quot;#,##0.0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3030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Output!$S$6</c:f>
          <c:strCache>
            <c:ptCount val="1"/>
            <c:pt idx="0">
              <c:v>Monthly Gas Avoided Costs: PG&amp;E, Residential, Residential Furnace, Uncontrolled</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4"/>
      <c:hPercent val="100"/>
      <c:rotY val="329"/>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072664359861592"/>
          <c:y val="0.16474011687719708"/>
          <c:w val="0.77566320645905418"/>
          <c:h val="0.69942295235581919"/>
        </c:manualLayout>
      </c:layout>
      <c:surface3DChart>
        <c:wireframe val="0"/>
        <c:ser>
          <c:idx val="0"/>
          <c:order val="0"/>
          <c:tx>
            <c:strRef>
              <c:f>Output!$H$12</c:f>
              <c:strCache>
                <c:ptCount val="1"/>
                <c:pt idx="0">
                  <c:v>January</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cat>
            <c:numRef>
              <c:f>Output!$I$11:$AO$11</c:f>
              <c:numCache>
                <c:formatCode>General</c:formatCode>
                <c:ptCount val="33"/>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numCache>
            </c:numRef>
          </c:cat>
          <c:val>
            <c:numRef>
              <c:f>Output!$I$12:$AO$12</c:f>
              <c:numCache>
                <c:formatCode>"$"#,##0.00</c:formatCode>
                <c:ptCount val="33"/>
                <c:pt idx="0">
                  <c:v>1.500117536079119</c:v>
                </c:pt>
                <c:pt idx="1">
                  <c:v>1.5781979998987226</c:v>
                </c:pt>
                <c:pt idx="2">
                  <c:v>1.6585443448342747</c:v>
                </c:pt>
                <c:pt idx="3">
                  <c:v>1.7471977680012407</c:v>
                </c:pt>
                <c:pt idx="4">
                  <c:v>1.8351672627185314</c:v>
                </c:pt>
                <c:pt idx="5">
                  <c:v>1.9276172566537773</c:v>
                </c:pt>
                <c:pt idx="6">
                  <c:v>2.0271122020185128</c:v>
                </c:pt>
                <c:pt idx="7">
                  <c:v>2.1324127345613446</c:v>
                </c:pt>
                <c:pt idx="8">
                  <c:v>2.2440810972786411</c:v>
                </c:pt>
                <c:pt idx="9">
                  <c:v>2.3629213437463239</c:v>
                </c:pt>
                <c:pt idx="10">
                  <c:v>2.4887448586489449</c:v>
                </c:pt>
                <c:pt idx="11">
                  <c:v>2.6187857768755438</c:v>
                </c:pt>
                <c:pt idx="12">
                  <c:v>2.7567717742074569</c:v>
                </c:pt>
                <c:pt idx="13">
                  <c:v>2.903238419527757</c:v>
                </c:pt>
                <c:pt idx="14">
                  <c:v>3.0588679283527664</c:v>
                </c:pt>
                <c:pt idx="15">
                  <c:v>3.2241754324347194</c:v>
                </c:pt>
                <c:pt idx="16">
                  <c:v>3.3991996981258326</c:v>
                </c:pt>
                <c:pt idx="17">
                  <c:v>3.5850213826908233</c:v>
                </c:pt>
                <c:pt idx="18">
                  <c:v>3.7823818929321984</c:v>
                </c:pt>
                <c:pt idx="19">
                  <c:v>3.9921493331683426</c:v>
                </c:pt>
                <c:pt idx="20">
                  <c:v>4.2152571180992089</c:v>
                </c:pt>
                <c:pt idx="21">
                  <c:v>4.4527088863239834</c:v>
                </c:pt>
                <c:pt idx="22">
                  <c:v>4.7055837835191516</c:v>
                </c:pt>
                <c:pt idx="23">
                  <c:v>4.9750421430875873</c:v>
                </c:pt>
                <c:pt idx="24">
                  <c:v>5.2623315941818314</c:v>
                </c:pt>
                <c:pt idx="25">
                  <c:v>5.5687936292543458</c:v>
                </c:pt>
                <c:pt idx="26">
                  <c:v>5.8958706657064308</c:v>
                </c:pt>
                <c:pt idx="27">
                  <c:v>6.2451136388085438</c:v>
                </c:pt>
                <c:pt idx="28">
                  <c:v>6.6181901658613214</c:v>
                </c:pt>
                <c:pt idx="29">
                  <c:v>7.0168933245736476</c:v>
                </c:pt>
                <c:pt idx="30">
                  <c:v>7.4431510918673816</c:v>
                </c:pt>
                <c:pt idx="31">
                  <c:v>7.8990364927947931</c:v>
                </c:pt>
                <c:pt idx="32">
                  <c:v>8.3867785129929224</c:v>
                </c:pt>
              </c:numCache>
            </c:numRef>
          </c:val>
          <c:extLst>
            <c:ext xmlns:c16="http://schemas.microsoft.com/office/drawing/2014/chart" uri="{C3380CC4-5D6E-409C-BE32-E72D297353CC}">
              <c16:uniqueId val="{00000000-1343-448F-89A2-8590D27FB4A8}"/>
            </c:ext>
          </c:extLst>
        </c:ser>
        <c:ser>
          <c:idx val="1"/>
          <c:order val="1"/>
          <c:tx>
            <c:strRef>
              <c:f>Output!$H$13</c:f>
              <c:strCache>
                <c:ptCount val="1"/>
                <c:pt idx="0">
                  <c:v>February</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cat>
            <c:numRef>
              <c:f>Output!$I$11:$AO$11</c:f>
              <c:numCache>
                <c:formatCode>General</c:formatCode>
                <c:ptCount val="33"/>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numCache>
            </c:numRef>
          </c:cat>
          <c:val>
            <c:numRef>
              <c:f>Output!$I$13:$AO$13</c:f>
              <c:numCache>
                <c:formatCode>"$"#,##0.00</c:formatCode>
                <c:ptCount val="33"/>
                <c:pt idx="0">
                  <c:v>1.5098155080419875</c:v>
                </c:pt>
                <c:pt idx="1">
                  <c:v>1.586891638234309</c:v>
                </c:pt>
                <c:pt idx="2">
                  <c:v>1.667078466146805</c:v>
                </c:pt>
                <c:pt idx="3">
                  <c:v>1.75617156652573</c:v>
                </c:pt>
                <c:pt idx="4">
                  <c:v>1.844166953724071</c:v>
                </c:pt>
                <c:pt idx="5">
                  <c:v>1.9367175400931806</c:v>
                </c:pt>
                <c:pt idx="6">
                  <c:v>2.0365581715984553</c:v>
                </c:pt>
                <c:pt idx="7">
                  <c:v>2.1421145695299035</c:v>
                </c:pt>
                <c:pt idx="8">
                  <c:v>2.2540627490174545</c:v>
                </c:pt>
                <c:pt idx="9">
                  <c:v>2.3732234644455223</c:v>
                </c:pt>
                <c:pt idx="10">
                  <c:v>2.4993457487617721</c:v>
                </c:pt>
                <c:pt idx="11">
                  <c:v>2.6294210039216779</c:v>
                </c:pt>
                <c:pt idx="12">
                  <c:v>2.7676528189846716</c:v>
                </c:pt>
                <c:pt idx="13">
                  <c:v>2.9143736839705277</c:v>
                </c:pt>
                <c:pt idx="14">
                  <c:v>3.0702785555475023</c:v>
                </c:pt>
                <c:pt idx="15">
                  <c:v>3.2358578611302908</c:v>
                </c:pt>
                <c:pt idx="16">
                  <c:v>3.4111563024896614</c:v>
                </c:pt>
                <c:pt idx="17">
                  <c:v>3.5972515691810516</c:v>
                </c:pt>
                <c:pt idx="18">
                  <c:v>3.7948856615488293</c:v>
                </c:pt>
                <c:pt idx="19">
                  <c:v>4.0049266839113731</c:v>
                </c:pt>
                <c:pt idx="20">
                  <c:v>4.2283080509686384</c:v>
                </c:pt>
                <c:pt idx="21">
                  <c:v>4.466033401319816</c:v>
                </c:pt>
                <c:pt idx="22">
                  <c:v>4.7191818806413828</c:v>
                </c:pt>
                <c:pt idx="23">
                  <c:v>4.9889138223362179</c:v>
                </c:pt>
                <c:pt idx="24">
                  <c:v>5.2764768555568642</c:v>
                </c:pt>
                <c:pt idx="25">
                  <c:v>5.5832124727557781</c:v>
                </c:pt>
                <c:pt idx="26">
                  <c:v>5.9105630913342635</c:v>
                </c:pt>
                <c:pt idx="27">
                  <c:v>6.2600796465627786</c:v>
                </c:pt>
                <c:pt idx="28">
                  <c:v>6.6334297557419557</c:v>
                </c:pt>
                <c:pt idx="29">
                  <c:v>7.0324064965806814</c:v>
                </c:pt>
                <c:pt idx="30">
                  <c:v>7.4589378460008167</c:v>
                </c:pt>
                <c:pt idx="31">
                  <c:v>7.9150968290546286</c:v>
                </c:pt>
                <c:pt idx="32">
                  <c:v>8.4031124313791583</c:v>
                </c:pt>
              </c:numCache>
            </c:numRef>
          </c:val>
          <c:extLst>
            <c:ext xmlns:c16="http://schemas.microsoft.com/office/drawing/2014/chart" uri="{C3380CC4-5D6E-409C-BE32-E72D297353CC}">
              <c16:uniqueId val="{00000001-1343-448F-89A2-8590D27FB4A8}"/>
            </c:ext>
          </c:extLst>
        </c:ser>
        <c:ser>
          <c:idx val="2"/>
          <c:order val="2"/>
          <c:tx>
            <c:strRef>
              <c:f>Output!$H$14</c:f>
              <c:strCache>
                <c:ptCount val="1"/>
                <c:pt idx="0">
                  <c:v>March</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cat>
            <c:numRef>
              <c:f>Output!$I$11:$AO$11</c:f>
              <c:numCache>
                <c:formatCode>General</c:formatCode>
                <c:ptCount val="33"/>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numCache>
            </c:numRef>
          </c:cat>
          <c:val>
            <c:numRef>
              <c:f>Output!$I$14:$AO$14</c:f>
              <c:numCache>
                <c:formatCode>"$"#,##0.00</c:formatCode>
                <c:ptCount val="33"/>
                <c:pt idx="0">
                  <c:v>1.4675735390636366</c:v>
                </c:pt>
                <c:pt idx="1">
                  <c:v>1.5424953988967554</c:v>
                </c:pt>
                <c:pt idx="2">
                  <c:v>1.6215256949458421</c:v>
                </c:pt>
                <c:pt idx="3">
                  <c:v>1.7095591702569291</c:v>
                </c:pt>
                <c:pt idx="4">
                  <c:v>1.7964295407467599</c:v>
                </c:pt>
                <c:pt idx="5">
                  <c:v>1.8880081818780658</c:v>
                </c:pt>
                <c:pt idx="6">
                  <c:v>1.9868139236572429</c:v>
                </c:pt>
                <c:pt idx="7">
                  <c:v>2.091188430888308</c:v>
                </c:pt>
                <c:pt idx="8">
                  <c:v>2.2018756674302642</c:v>
                </c:pt>
                <c:pt idx="9">
                  <c:v>2.3196614432789637</c:v>
                </c:pt>
                <c:pt idx="10">
                  <c:v>2.4443260188428124</c:v>
                </c:pt>
                <c:pt idx="11">
                  <c:v>2.5730773388984685</c:v>
                </c:pt>
                <c:pt idx="12">
                  <c:v>2.7100915366571137</c:v>
                </c:pt>
                <c:pt idx="13">
                  <c:v>2.8555447842959492</c:v>
                </c:pt>
                <c:pt idx="14">
                  <c:v>3.0101322584270966</c:v>
                </c:pt>
                <c:pt idx="15">
                  <c:v>3.1743417985216578</c:v>
                </c:pt>
                <c:pt idx="16">
                  <c:v>3.3483053864210666</c:v>
                </c:pt>
                <c:pt idx="17">
                  <c:v>3.5330570716454313</c:v>
                </c:pt>
                <c:pt idx="18">
                  <c:v>3.7293475825461782</c:v>
                </c:pt>
                <c:pt idx="19">
                  <c:v>3.9380450234416968</c:v>
                </c:pt>
                <c:pt idx="20">
                  <c:v>4.1600828090319339</c:v>
                </c:pt>
                <c:pt idx="21">
                  <c:v>4.3964645779160838</c:v>
                </c:pt>
                <c:pt idx="22">
                  <c:v>4.6482694757706255</c:v>
                </c:pt>
                <c:pt idx="23">
                  <c:v>4.916657835998433</c:v>
                </c:pt>
                <c:pt idx="24">
                  <c:v>5.2028772877520515</c:v>
                </c:pt>
                <c:pt idx="25">
                  <c:v>5.5082693234839368</c:v>
                </c:pt>
                <c:pt idx="26">
                  <c:v>5.8342763605953971</c:v>
                </c:pt>
                <c:pt idx="27">
                  <c:v>6.1824493343568809</c:v>
                </c:pt>
                <c:pt idx="28">
                  <c:v>6.554455862069033</c:v>
                </c:pt>
                <c:pt idx="29">
                  <c:v>6.9520890214407345</c:v>
                </c:pt>
                <c:pt idx="30">
                  <c:v>7.3772767893938385</c:v>
                </c:pt>
                <c:pt idx="31">
                  <c:v>7.8320921909806245</c:v>
                </c:pt>
                <c:pt idx="32">
                  <c:v>8.3187642118381255</c:v>
                </c:pt>
              </c:numCache>
            </c:numRef>
          </c:val>
          <c:extLst>
            <c:ext xmlns:c16="http://schemas.microsoft.com/office/drawing/2014/chart" uri="{C3380CC4-5D6E-409C-BE32-E72D297353CC}">
              <c16:uniqueId val="{00000002-1343-448F-89A2-8590D27FB4A8}"/>
            </c:ext>
          </c:extLst>
        </c:ser>
        <c:ser>
          <c:idx val="3"/>
          <c:order val="3"/>
          <c:tx>
            <c:strRef>
              <c:f>Output!$H$15</c:f>
              <c:strCache>
                <c:ptCount val="1"/>
                <c:pt idx="0">
                  <c:v>April</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a:sp3d contourW="9525">
              <a:contourClr>
                <a:schemeClr val="accent4">
                  <a:shade val="95000"/>
                </a:schemeClr>
              </a:contourClr>
            </a:sp3d>
          </c:spPr>
          <c:cat>
            <c:numRef>
              <c:f>Output!$I$11:$AO$11</c:f>
              <c:numCache>
                <c:formatCode>General</c:formatCode>
                <c:ptCount val="33"/>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numCache>
            </c:numRef>
          </c:cat>
          <c:val>
            <c:numRef>
              <c:f>Output!$I$15:$AO$15</c:f>
              <c:numCache>
                <c:formatCode>"$"#,##0.00</c:formatCode>
                <c:ptCount val="33"/>
                <c:pt idx="0">
                  <c:v>1.1198082303178349</c:v>
                </c:pt>
                <c:pt idx="1">
                  <c:v>1.1859680012388738</c:v>
                </c:pt>
                <c:pt idx="2">
                  <c:v>1.2568709844583907</c:v>
                </c:pt>
                <c:pt idx="3">
                  <c:v>1.3370790919577078</c:v>
                </c:pt>
                <c:pt idx="4">
                  <c:v>1.415621531870378</c:v>
                </c:pt>
                <c:pt idx="5">
                  <c:v>1.4993860615882195</c:v>
                </c:pt>
                <c:pt idx="6">
                  <c:v>1.5903828017732231</c:v>
                </c:pt>
                <c:pt idx="7">
                  <c:v>1.6868565286000252</c:v>
                </c:pt>
                <c:pt idx="8">
                  <c:v>1.7896489301981737</c:v>
                </c:pt>
                <c:pt idx="9">
                  <c:v>1.8995531236418546</c:v>
                </c:pt>
                <c:pt idx="10">
                  <c:v>2.0163065400186797</c:v>
                </c:pt>
                <c:pt idx="11">
                  <c:v>2.1369652723246797</c:v>
                </c:pt>
                <c:pt idx="12">
                  <c:v>2.2660654017183135</c:v>
                </c:pt>
                <c:pt idx="13">
                  <c:v>2.4036031773812812</c:v>
                </c:pt>
                <c:pt idx="14">
                  <c:v>2.5502835620852466</c:v>
                </c:pt>
                <c:pt idx="15">
                  <c:v>2.7065750818487158</c:v>
                </c:pt>
                <c:pt idx="16">
                  <c:v>2.8726279366863103</c:v>
                </c:pt>
                <c:pt idx="17">
                  <c:v>3.0494670670315336</c:v>
                </c:pt>
                <c:pt idx="18">
                  <c:v>3.2378450230531479</c:v>
                </c:pt>
                <c:pt idx="19">
                  <c:v>3.4386299090695309</c:v>
                </c:pt>
                <c:pt idx="20">
                  <c:v>3.6527551397806297</c:v>
                </c:pt>
                <c:pt idx="21">
                  <c:v>3.8812243537856439</c:v>
                </c:pt>
                <c:pt idx="22">
                  <c:v>4.1251166967610473</c:v>
                </c:pt>
                <c:pt idx="23">
                  <c:v>4.3855925021097182</c:v>
                </c:pt>
                <c:pt idx="24">
                  <c:v>4.663899398984201</c:v>
                </c:pt>
                <c:pt idx="25">
                  <c:v>4.9613788798369489</c:v>
                </c:pt>
                <c:pt idx="26">
                  <c:v>5.2794733620692735</c:v>
                </c:pt>
                <c:pt idx="27">
                  <c:v>5.6197337809516217</c:v>
                </c:pt>
                <c:pt idx="28">
                  <c:v>5.9838277537846354</c:v>
                </c:pt>
                <c:pt idx="29">
                  <c:v>6.3735483582772003</c:v>
                </c:pt>
                <c:pt idx="30">
                  <c:v>6.7908235713511695</c:v>
                </c:pt>
                <c:pt idx="31">
                  <c:v>7.2377264180588172</c:v>
                </c:pt>
                <c:pt idx="32">
                  <c:v>7.7164858840371826</c:v>
                </c:pt>
              </c:numCache>
            </c:numRef>
          </c:val>
          <c:extLst>
            <c:ext xmlns:c16="http://schemas.microsoft.com/office/drawing/2014/chart" uri="{C3380CC4-5D6E-409C-BE32-E72D297353CC}">
              <c16:uniqueId val="{00000003-1343-448F-89A2-8590D27FB4A8}"/>
            </c:ext>
          </c:extLst>
        </c:ser>
        <c:ser>
          <c:idx val="4"/>
          <c:order val="4"/>
          <c:tx>
            <c:strRef>
              <c:f>Output!$H$16</c:f>
              <c:strCache>
                <c:ptCount val="1"/>
                <c:pt idx="0">
                  <c:v>May</c:v>
                </c:pt>
              </c:strCache>
            </c:strRef>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a:sp3d contourW="9525">
              <a:contourClr>
                <a:schemeClr val="accent5">
                  <a:shade val="95000"/>
                </a:schemeClr>
              </a:contourClr>
            </a:sp3d>
          </c:spPr>
          <c:cat>
            <c:numRef>
              <c:f>Output!$I$11:$AO$11</c:f>
              <c:numCache>
                <c:formatCode>General</c:formatCode>
                <c:ptCount val="33"/>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numCache>
            </c:numRef>
          </c:cat>
          <c:val>
            <c:numRef>
              <c:f>Output!$I$16:$AO$16</c:f>
              <c:numCache>
                <c:formatCode>"$"#,##0.00</c:formatCode>
                <c:ptCount val="33"/>
                <c:pt idx="0">
                  <c:v>1.1402615802898537</c:v>
                </c:pt>
                <c:pt idx="1">
                  <c:v>1.2056147818196477</c:v>
                </c:pt>
                <c:pt idx="2">
                  <c:v>1.2765532595037619</c:v>
                </c:pt>
                <c:pt idx="3">
                  <c:v>1.3575167978688742</c:v>
                </c:pt>
                <c:pt idx="4">
                  <c:v>1.4363171959721532</c:v>
                </c:pt>
                <c:pt idx="5">
                  <c:v>1.5204011125938131</c:v>
                </c:pt>
                <c:pt idx="6">
                  <c:v>1.6120323297604142</c:v>
                </c:pt>
                <c:pt idx="7">
                  <c:v>1.7090592263122284</c:v>
                </c:pt>
                <c:pt idx="8">
                  <c:v>1.8124502345502447</c:v>
                </c:pt>
                <c:pt idx="9">
                  <c:v>1.9230261003556008</c:v>
                </c:pt>
                <c:pt idx="10">
                  <c:v>2.0404410395772596</c:v>
                </c:pt>
                <c:pt idx="11">
                  <c:v>2.161408111634961</c:v>
                </c:pt>
                <c:pt idx="12">
                  <c:v>2.2910561891603427</c:v>
                </c:pt>
                <c:pt idx="13">
                  <c:v>2.4291623255334338</c:v>
                </c:pt>
                <c:pt idx="14">
                  <c:v>2.5764471618909743</c:v>
                </c:pt>
                <c:pt idx="15">
                  <c:v>2.7333492590572335</c:v>
                </c:pt>
                <c:pt idx="16">
                  <c:v>2.9000086074648057</c:v>
                </c:pt>
                <c:pt idx="17">
                  <c:v>3.0774552523382126</c:v>
                </c:pt>
                <c:pt idx="18">
                  <c:v>3.2664407228880101</c:v>
                </c:pt>
                <c:pt idx="19">
                  <c:v>3.4678331234325737</c:v>
                </c:pt>
                <c:pt idx="20">
                  <c:v>3.6825658686718556</c:v>
                </c:pt>
                <c:pt idx="21">
                  <c:v>3.9116425972050535</c:v>
                </c:pt>
                <c:pt idx="22">
                  <c:v>4.1561424547086405</c:v>
                </c:pt>
                <c:pt idx="23">
                  <c:v>4.4172257745854919</c:v>
                </c:pt>
                <c:pt idx="24">
                  <c:v>4.6961401859881589</c:v>
                </c:pt>
                <c:pt idx="25">
                  <c:v>4.9942271813690891</c:v>
                </c:pt>
                <c:pt idx="26">
                  <c:v>5.3129291781295942</c:v>
                </c:pt>
                <c:pt idx="27">
                  <c:v>5.6537971115401291</c:v>
                </c:pt>
                <c:pt idx="28">
                  <c:v>6.0184985989013233</c:v>
                </c:pt>
                <c:pt idx="29">
                  <c:v>6.4088267179220688</c:v>
                </c:pt>
                <c:pt idx="30">
                  <c:v>6.8267094455242248</c:v>
                </c:pt>
                <c:pt idx="31">
                  <c:v>7.274219806760053</c:v>
                </c:pt>
                <c:pt idx="32">
                  <c:v>7.7535867872666016</c:v>
                </c:pt>
              </c:numCache>
            </c:numRef>
          </c:val>
          <c:extLst>
            <c:ext xmlns:c16="http://schemas.microsoft.com/office/drawing/2014/chart" uri="{C3380CC4-5D6E-409C-BE32-E72D297353CC}">
              <c16:uniqueId val="{00000004-1343-448F-89A2-8590D27FB4A8}"/>
            </c:ext>
          </c:extLst>
        </c:ser>
        <c:ser>
          <c:idx val="5"/>
          <c:order val="5"/>
          <c:tx>
            <c:strRef>
              <c:f>Output!$H$17</c:f>
              <c:strCache>
                <c:ptCount val="1"/>
                <c:pt idx="0">
                  <c:v>June</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a:sp3d contourW="9525">
              <a:contourClr>
                <a:schemeClr val="accent6">
                  <a:shade val="95000"/>
                </a:schemeClr>
              </a:contourClr>
            </a:sp3d>
          </c:spPr>
          <c:cat>
            <c:numRef>
              <c:f>Output!$I$11:$AO$11</c:f>
              <c:numCache>
                <c:formatCode>General</c:formatCode>
                <c:ptCount val="33"/>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numCache>
            </c:numRef>
          </c:cat>
          <c:val>
            <c:numRef>
              <c:f>Output!$I$17:$AO$17</c:f>
              <c:numCache>
                <c:formatCode>"$"#,##0.00</c:formatCode>
                <c:ptCount val="33"/>
                <c:pt idx="0">
                  <c:v>1.1226329793926531</c:v>
                </c:pt>
                <c:pt idx="1">
                  <c:v>1.1915829076744107</c:v>
                </c:pt>
                <c:pt idx="2">
                  <c:v>1.2649428834386947</c:v>
                </c:pt>
                <c:pt idx="3">
                  <c:v>1.3437058558770705</c:v>
                </c:pt>
                <c:pt idx="4">
                  <c:v>1.4225901412163968</c:v>
                </c:pt>
                <c:pt idx="5">
                  <c:v>1.5074696774050416</c:v>
                </c:pt>
                <c:pt idx="6">
                  <c:v>1.5983292409030732</c:v>
                </c:pt>
                <c:pt idx="7">
                  <c:v>1.695085802981118</c:v>
                </c:pt>
                <c:pt idx="8">
                  <c:v>1.7982371936082435</c:v>
                </c:pt>
                <c:pt idx="9">
                  <c:v>1.9082826242138153</c:v>
                </c:pt>
                <c:pt idx="10">
                  <c:v>2.0241647397932017</c:v>
                </c:pt>
                <c:pt idx="11">
                  <c:v>2.1457538626539856</c:v>
                </c:pt>
                <c:pt idx="12">
                  <c:v>2.2750652261330506</c:v>
                </c:pt>
                <c:pt idx="13">
                  <c:v>2.412880869316596</c:v>
                </c:pt>
                <c:pt idx="14">
                  <c:v>2.5597474979498012</c:v>
                </c:pt>
                <c:pt idx="15">
                  <c:v>2.7163445962169548</c:v>
                </c:pt>
                <c:pt idx="16">
                  <c:v>2.8826234731752658</c:v>
                </c:pt>
                <c:pt idx="17">
                  <c:v>3.0597085147369532</c:v>
                </c:pt>
                <c:pt idx="18">
                  <c:v>3.2483323819750307</c:v>
                </c:pt>
                <c:pt idx="19">
                  <c:v>3.4493631792078747</c:v>
                </c:pt>
                <c:pt idx="20">
                  <c:v>3.6637343211354372</c:v>
                </c:pt>
                <c:pt idx="21">
                  <c:v>3.8924494463569119</c:v>
                </c:pt>
                <c:pt idx="22">
                  <c:v>4.1365877005487794</c:v>
                </c:pt>
                <c:pt idx="23">
                  <c:v>4.3973094171139113</c:v>
                </c:pt>
                <c:pt idx="24">
                  <c:v>4.6758622252048552</c:v>
                </c:pt>
                <c:pt idx="25">
                  <c:v>4.9735876172740658</c:v>
                </c:pt>
                <c:pt idx="26">
                  <c:v>5.2919280107228506</c:v>
                </c:pt>
                <c:pt idx="27">
                  <c:v>5.6324343408216624</c:v>
                </c:pt>
                <c:pt idx="28">
                  <c:v>5.9967742248711371</c:v>
                </c:pt>
                <c:pt idx="29">
                  <c:v>6.3867407405801631</c:v>
                </c:pt>
                <c:pt idx="30">
                  <c:v>6.8042618648705959</c:v>
                </c:pt>
                <c:pt idx="31">
                  <c:v>7.2514106227947046</c:v>
                </c:pt>
                <c:pt idx="32">
                  <c:v>7.7304159999895328</c:v>
                </c:pt>
              </c:numCache>
            </c:numRef>
          </c:val>
          <c:extLst>
            <c:ext xmlns:c16="http://schemas.microsoft.com/office/drawing/2014/chart" uri="{C3380CC4-5D6E-409C-BE32-E72D297353CC}">
              <c16:uniqueId val="{00000005-1343-448F-89A2-8590D27FB4A8}"/>
            </c:ext>
          </c:extLst>
        </c:ser>
        <c:ser>
          <c:idx val="6"/>
          <c:order val="6"/>
          <c:tx>
            <c:strRef>
              <c:f>Output!$H$18</c:f>
              <c:strCache>
                <c:ptCount val="1"/>
                <c:pt idx="0">
                  <c:v>July</c:v>
                </c:pt>
              </c:strCache>
            </c:strRef>
          </c:tx>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a:sp3d contourW="9525">
              <a:contourClr>
                <a:schemeClr val="accent1">
                  <a:lumMod val="60000"/>
                  <a:shade val="95000"/>
                </a:schemeClr>
              </a:contourClr>
            </a:sp3d>
          </c:spPr>
          <c:cat>
            <c:numRef>
              <c:f>Output!$I$11:$AO$11</c:f>
              <c:numCache>
                <c:formatCode>General</c:formatCode>
                <c:ptCount val="33"/>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numCache>
            </c:numRef>
          </c:cat>
          <c:val>
            <c:numRef>
              <c:f>Output!$I$18:$AO$18</c:f>
              <c:numCache>
                <c:formatCode>"$"#,##0.00</c:formatCode>
                <c:ptCount val="33"/>
                <c:pt idx="0">
                  <c:v>1.1265525797673235</c:v>
                </c:pt>
                <c:pt idx="1">
                  <c:v>1.1952942352661655</c:v>
                </c:pt>
                <c:pt idx="2">
                  <c:v>1.268935844228684</c:v>
                </c:pt>
                <c:pt idx="3">
                  <c:v>1.3476424628360753</c:v>
                </c:pt>
                <c:pt idx="4">
                  <c:v>1.4265422853763108</c:v>
                </c:pt>
                <c:pt idx="5">
                  <c:v>1.5116270513199686</c:v>
                </c:pt>
                <c:pt idx="6">
                  <c:v>1.6026093070873992</c:v>
                </c:pt>
                <c:pt idx="7">
                  <c:v>1.6995027404178524</c:v>
                </c:pt>
                <c:pt idx="8">
                  <c:v>1.8028143573059123</c:v>
                </c:pt>
                <c:pt idx="9">
                  <c:v>1.9129989635856808</c:v>
                </c:pt>
                <c:pt idx="10">
                  <c:v>2.028822817494778</c:v>
                </c:pt>
                <c:pt idx="11">
                  <c:v>2.1505265080576836</c:v>
                </c:pt>
                <c:pt idx="12">
                  <c:v>2.2799541806816439</c:v>
                </c:pt>
                <c:pt idx="13">
                  <c:v>2.4179002346589709</c:v>
                </c:pt>
                <c:pt idx="14">
                  <c:v>2.5648906875995174</c:v>
                </c:pt>
                <c:pt idx="15">
                  <c:v>2.7216279491797968</c:v>
                </c:pt>
                <c:pt idx="16">
                  <c:v>2.8880360967807137</c:v>
                </c:pt>
                <c:pt idx="17">
                  <c:v>3.0652531321526335</c:v>
                </c:pt>
                <c:pt idx="18">
                  <c:v>3.2540089932009435</c:v>
                </c:pt>
                <c:pt idx="19">
                  <c:v>3.4551717842440195</c:v>
                </c:pt>
                <c:pt idx="20">
                  <c:v>3.6696749199818175</c:v>
                </c:pt>
                <c:pt idx="21">
                  <c:v>3.8985220390135251</c:v>
                </c:pt>
                <c:pt idx="22">
                  <c:v>4.1427922870156246</c:v>
                </c:pt>
                <c:pt idx="23">
                  <c:v>4.4036459973909921</c:v>
                </c:pt>
                <c:pt idx="24">
                  <c:v>4.6823307992921679</c:v>
                </c:pt>
                <c:pt idx="25">
                  <c:v>4.980188185171615</c:v>
                </c:pt>
                <c:pt idx="26">
                  <c:v>5.2986605724306326</c:v>
                </c:pt>
                <c:pt idx="27">
                  <c:v>5.63929889633968</c:v>
                </c:pt>
                <c:pt idx="28">
                  <c:v>6.0037707741993867</c:v>
                </c:pt>
                <c:pt idx="29">
                  <c:v>6.3938692837186455</c:v>
                </c:pt>
                <c:pt idx="30">
                  <c:v>6.811522401819313</c:v>
                </c:pt>
                <c:pt idx="31">
                  <c:v>7.2588031535536546</c:v>
                </c:pt>
                <c:pt idx="32">
                  <c:v>7.7379405245587183</c:v>
                </c:pt>
              </c:numCache>
            </c:numRef>
          </c:val>
          <c:extLst>
            <c:ext xmlns:c16="http://schemas.microsoft.com/office/drawing/2014/chart" uri="{C3380CC4-5D6E-409C-BE32-E72D297353CC}">
              <c16:uniqueId val="{00000006-1343-448F-89A2-8590D27FB4A8}"/>
            </c:ext>
          </c:extLst>
        </c:ser>
        <c:ser>
          <c:idx val="7"/>
          <c:order val="7"/>
          <c:tx>
            <c:strRef>
              <c:f>Output!$H$19</c:f>
              <c:strCache>
                <c:ptCount val="1"/>
                <c:pt idx="0">
                  <c:v>August</c:v>
                </c:pt>
              </c:strCache>
            </c:strRef>
          </c:tx>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a:sp3d contourW="9525">
              <a:contourClr>
                <a:schemeClr val="accent2">
                  <a:lumMod val="60000"/>
                  <a:shade val="95000"/>
                </a:schemeClr>
              </a:contourClr>
            </a:sp3d>
          </c:spPr>
          <c:cat>
            <c:numRef>
              <c:f>Output!$I$11:$AO$11</c:f>
              <c:numCache>
                <c:formatCode>General</c:formatCode>
                <c:ptCount val="33"/>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numCache>
            </c:numRef>
          </c:cat>
          <c:val>
            <c:numRef>
              <c:f>Output!$I$19:$AO$19</c:f>
              <c:numCache>
                <c:formatCode>"$"#,##0.00</c:formatCode>
                <c:ptCount val="33"/>
                <c:pt idx="0">
                  <c:v>1.1296485303625672</c:v>
                </c:pt>
                <c:pt idx="1">
                  <c:v>1.1981563155964372</c:v>
                </c:pt>
                <c:pt idx="2">
                  <c:v>1.2720620720825313</c:v>
                </c:pt>
                <c:pt idx="3">
                  <c:v>1.3506892300913678</c:v>
                </c:pt>
                <c:pt idx="4">
                  <c:v>1.4295851612580905</c:v>
                </c:pt>
                <c:pt idx="5">
                  <c:v>1.5148577580071443</c:v>
                </c:pt>
                <c:pt idx="6">
                  <c:v>1.6059413402215481</c:v>
                </c:pt>
                <c:pt idx="7">
                  <c:v>1.7029488139068352</c:v>
                </c:pt>
                <c:pt idx="8">
                  <c:v>1.8063962417802404</c:v>
                </c:pt>
                <c:pt idx="9">
                  <c:v>1.916693176635951</c:v>
                </c:pt>
                <c:pt idx="10">
                  <c:v>2.0324304776116966</c:v>
                </c:pt>
                <c:pt idx="11">
                  <c:v>2.154225965116626</c:v>
                </c:pt>
                <c:pt idx="12">
                  <c:v>2.2837465922639741</c:v>
                </c:pt>
                <c:pt idx="13">
                  <c:v>2.421798775818806</c:v>
                </c:pt>
                <c:pt idx="14">
                  <c:v>2.5688876751937082</c:v>
                </c:pt>
                <c:pt idx="15">
                  <c:v>2.7257388940579901</c:v>
                </c:pt>
                <c:pt idx="16">
                  <c:v>2.8922506583764802</c:v>
                </c:pt>
                <c:pt idx="17">
                  <c:v>3.0695738956075793</c:v>
                </c:pt>
                <c:pt idx="18">
                  <c:v>3.2584359585150664</c:v>
                </c:pt>
                <c:pt idx="19">
                  <c:v>3.4597049514173226</c:v>
                </c:pt>
                <c:pt idx="20">
                  <c:v>3.6743142890142968</c:v>
                </c:pt>
                <c:pt idx="21">
                  <c:v>3.9032676099051873</c:v>
                </c:pt>
                <c:pt idx="22">
                  <c:v>4.147644059766467</c:v>
                </c:pt>
                <c:pt idx="23">
                  <c:v>4.4086039720010106</c:v>
                </c:pt>
                <c:pt idx="24">
                  <c:v>4.6873949757613662</c:v>
                </c:pt>
                <c:pt idx="25">
                  <c:v>4.9853585634999895</c:v>
                </c:pt>
                <c:pt idx="26">
                  <c:v>5.3039371526181904</c:v>
                </c:pt>
                <c:pt idx="27">
                  <c:v>5.644681678386414</c:v>
                </c:pt>
                <c:pt idx="28">
                  <c:v>6.0092597581053004</c:v>
                </c:pt>
                <c:pt idx="29">
                  <c:v>6.399464469483739</c:v>
                </c:pt>
                <c:pt idx="30">
                  <c:v>6.8172237894435836</c:v>
                </c:pt>
                <c:pt idx="31">
                  <c:v>7.2646107430371076</c:v>
                </c:pt>
                <c:pt idx="32">
                  <c:v>7.7438543159013484</c:v>
                </c:pt>
              </c:numCache>
            </c:numRef>
          </c:val>
          <c:extLst>
            <c:ext xmlns:c16="http://schemas.microsoft.com/office/drawing/2014/chart" uri="{C3380CC4-5D6E-409C-BE32-E72D297353CC}">
              <c16:uniqueId val="{00000007-1343-448F-89A2-8590D27FB4A8}"/>
            </c:ext>
          </c:extLst>
        </c:ser>
        <c:ser>
          <c:idx val="8"/>
          <c:order val="8"/>
          <c:tx>
            <c:strRef>
              <c:f>Output!$H$20</c:f>
              <c:strCache>
                <c:ptCount val="1"/>
                <c:pt idx="0">
                  <c:v>September</c:v>
                </c:pt>
              </c:strCache>
            </c:strRef>
          </c:tx>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a:sp3d contourW="9525">
              <a:contourClr>
                <a:schemeClr val="accent3">
                  <a:lumMod val="60000"/>
                  <a:shade val="95000"/>
                </a:schemeClr>
              </a:contourClr>
            </a:sp3d>
          </c:spPr>
          <c:cat>
            <c:numRef>
              <c:f>Output!$I$11:$AO$11</c:f>
              <c:numCache>
                <c:formatCode>General</c:formatCode>
                <c:ptCount val="33"/>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numCache>
            </c:numRef>
          </c:cat>
          <c:val>
            <c:numRef>
              <c:f>Output!$I$20:$AO$20</c:f>
              <c:numCache>
                <c:formatCode>"$"#,##0.00</c:formatCode>
                <c:ptCount val="33"/>
                <c:pt idx="0">
                  <c:v>1.0964354939851724</c:v>
                </c:pt>
                <c:pt idx="1">
                  <c:v>1.163867968528471</c:v>
                </c:pt>
                <c:pt idx="2">
                  <c:v>1.2370945444169095</c:v>
                </c:pt>
                <c:pt idx="3">
                  <c:v>1.3147682178665703</c:v>
                </c:pt>
                <c:pt idx="4">
                  <c:v>1.3928706604921171</c:v>
                </c:pt>
                <c:pt idx="5">
                  <c:v>1.4774576487194124</c:v>
                </c:pt>
                <c:pt idx="6">
                  <c:v>1.567682415666201</c:v>
                </c:pt>
                <c:pt idx="7">
                  <c:v>1.6637729373589953</c:v>
                </c:pt>
                <c:pt idx="8">
                  <c:v>1.7662415900359603</c:v>
                </c:pt>
                <c:pt idx="9">
                  <c:v>1.8754574274691811</c:v>
                </c:pt>
                <c:pt idx="10">
                  <c:v>1.9900287115739528</c:v>
                </c:pt>
                <c:pt idx="11">
                  <c:v>2.1109067964257089</c:v>
                </c:pt>
                <c:pt idx="12">
                  <c:v>2.2394863417155846</c:v>
                </c:pt>
                <c:pt idx="13">
                  <c:v>2.3765613450784149</c:v>
                </c:pt>
                <c:pt idx="14">
                  <c:v>2.5226273005620645</c:v>
                </c:pt>
                <c:pt idx="15">
                  <c:v>2.6784238000637268</c:v>
                </c:pt>
                <c:pt idx="16">
                  <c:v>2.8439020286671712</c:v>
                </c:pt>
                <c:pt idx="17">
                  <c:v>3.0201864342713343</c:v>
                </c:pt>
                <c:pt idx="18">
                  <c:v>3.208009665551887</c:v>
                </c:pt>
                <c:pt idx="19">
                  <c:v>3.4082398268272067</c:v>
                </c:pt>
                <c:pt idx="20">
                  <c:v>3.6218103327972475</c:v>
                </c:pt>
                <c:pt idx="21">
                  <c:v>3.8497248220611979</c:v>
                </c:pt>
                <c:pt idx="22">
                  <c:v>4.0930624402955411</c:v>
                </c:pt>
                <c:pt idx="23">
                  <c:v>4.3529835209031509</c:v>
                </c:pt>
                <c:pt idx="24">
                  <c:v>4.6307356930365708</c:v>
                </c:pt>
                <c:pt idx="25">
                  <c:v>4.9276604491482594</c:v>
                </c:pt>
                <c:pt idx="26">
                  <c:v>5.2452002066395211</c:v>
                </c:pt>
                <c:pt idx="27">
                  <c:v>5.5849059007808108</c:v>
                </c:pt>
                <c:pt idx="28">
                  <c:v>5.9484451488727608</c:v>
                </c:pt>
                <c:pt idx="29">
                  <c:v>6.337611028624262</c:v>
                </c:pt>
                <c:pt idx="30">
                  <c:v>6.7543315169571736</c:v>
                </c:pt>
                <c:pt idx="31">
                  <c:v>7.2006796389237575</c:v>
                </c:pt>
                <c:pt idx="32">
                  <c:v>7.6788843801610653</c:v>
                </c:pt>
              </c:numCache>
            </c:numRef>
          </c:val>
          <c:extLst>
            <c:ext xmlns:c16="http://schemas.microsoft.com/office/drawing/2014/chart" uri="{C3380CC4-5D6E-409C-BE32-E72D297353CC}">
              <c16:uniqueId val="{00000008-1343-448F-89A2-8590D27FB4A8}"/>
            </c:ext>
          </c:extLst>
        </c:ser>
        <c:ser>
          <c:idx val="9"/>
          <c:order val="9"/>
          <c:tx>
            <c:strRef>
              <c:f>Output!$H$21</c:f>
              <c:strCache>
                <c:ptCount val="1"/>
                <c:pt idx="0">
                  <c:v>October</c:v>
                </c:pt>
              </c:strCache>
            </c:strRef>
          </c:tx>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a:sp3d contourW="9525">
              <a:contourClr>
                <a:schemeClr val="accent4">
                  <a:lumMod val="60000"/>
                  <a:shade val="95000"/>
                </a:schemeClr>
              </a:contourClr>
            </a:sp3d>
          </c:spPr>
          <c:cat>
            <c:numRef>
              <c:f>Output!$I$11:$AO$11</c:f>
              <c:numCache>
                <c:formatCode>General</c:formatCode>
                <c:ptCount val="33"/>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numCache>
            </c:numRef>
          </c:cat>
          <c:val>
            <c:numRef>
              <c:f>Output!$I$21:$AO$21</c:f>
              <c:numCache>
                <c:formatCode>"$"#,##0.00</c:formatCode>
                <c:ptCount val="33"/>
                <c:pt idx="0">
                  <c:v>1.0999631275921546</c:v>
                </c:pt>
                <c:pt idx="1">
                  <c:v>1.1671920607766308</c:v>
                </c:pt>
                <c:pt idx="2">
                  <c:v>1.2406817818339655</c:v>
                </c:pt>
                <c:pt idx="3">
                  <c:v>1.3182966268249356</c:v>
                </c:pt>
                <c:pt idx="4">
                  <c:v>1.3964093020142307</c:v>
                </c:pt>
                <c:pt idx="5">
                  <c:v>1.481186966860413</c:v>
                </c:pt>
                <c:pt idx="6">
                  <c:v>1.5715231814639083</c:v>
                </c:pt>
                <c:pt idx="7">
                  <c:v>1.6677382633109052</c:v>
                </c:pt>
                <c:pt idx="8">
                  <c:v>1.7703532668177913</c:v>
                </c:pt>
                <c:pt idx="9">
                  <c:v>1.8796949187645491</c:v>
                </c:pt>
                <c:pt idx="10">
                  <c:v>1.9942043612259606</c:v>
                </c:pt>
                <c:pt idx="11">
                  <c:v>2.1151858594287338</c:v>
                </c:pt>
                <c:pt idx="12">
                  <c:v>2.2438703347949263</c:v>
                </c:pt>
                <c:pt idx="13">
                  <c:v>2.3810634323181432</c:v>
                </c:pt>
                <c:pt idx="14">
                  <c:v>2.5272409784677863</c:v>
                </c:pt>
                <c:pt idx="15">
                  <c:v>2.6831643782818619</c:v>
                </c:pt>
                <c:pt idx="16">
                  <c:v>2.8487593007667749</c:v>
                </c:pt>
                <c:pt idx="17">
                  <c:v>3.0251629518601413</c:v>
                </c:pt>
                <c:pt idx="18">
                  <c:v>3.2131054286298979</c:v>
                </c:pt>
                <c:pt idx="19">
                  <c:v>3.4134548353944205</c:v>
                </c:pt>
                <c:pt idx="20">
                  <c:v>3.627144586853662</c:v>
                </c:pt>
                <c:pt idx="21">
                  <c:v>3.8551783216068189</c:v>
                </c:pt>
                <c:pt idx="22">
                  <c:v>4.0986351853303651</c:v>
                </c:pt>
                <c:pt idx="23">
                  <c:v>4.358675511427176</c:v>
                </c:pt>
                <c:pt idx="24">
                  <c:v>4.6365469290498016</c:v>
                </c:pt>
                <c:pt idx="25">
                  <c:v>4.9335909306506913</c:v>
                </c:pt>
                <c:pt idx="26">
                  <c:v>5.251249933631156</c:v>
                </c:pt>
                <c:pt idx="27">
                  <c:v>5.5910748732616495</c:v>
                </c:pt>
                <c:pt idx="28">
                  <c:v>5.9547333668428033</c:v>
                </c:pt>
                <c:pt idx="29">
                  <c:v>6.3440184920835083</c:v>
                </c:pt>
                <c:pt idx="30">
                  <c:v>6.7608582259056229</c:v>
                </c:pt>
                <c:pt idx="31">
                  <c:v>7.2073255933614107</c:v>
                </c:pt>
                <c:pt idx="32">
                  <c:v>7.6856495800879179</c:v>
                </c:pt>
              </c:numCache>
            </c:numRef>
          </c:val>
          <c:extLst>
            <c:ext xmlns:c16="http://schemas.microsoft.com/office/drawing/2014/chart" uri="{C3380CC4-5D6E-409C-BE32-E72D297353CC}">
              <c16:uniqueId val="{00000009-1343-448F-89A2-8590D27FB4A8}"/>
            </c:ext>
          </c:extLst>
        </c:ser>
        <c:ser>
          <c:idx val="10"/>
          <c:order val="10"/>
          <c:tx>
            <c:strRef>
              <c:f>Output!$H$22</c:f>
              <c:strCache>
                <c:ptCount val="1"/>
                <c:pt idx="0">
                  <c:v>November</c:v>
                </c:pt>
              </c:strCache>
            </c:strRef>
          </c:tx>
          <c:spPr>
            <a:gradFill rotWithShape="1">
              <a:gsLst>
                <a:gs pos="0">
                  <a:schemeClr val="accent5">
                    <a:lumMod val="60000"/>
                    <a:tint val="50000"/>
                    <a:satMod val="300000"/>
                  </a:schemeClr>
                </a:gs>
                <a:gs pos="35000">
                  <a:schemeClr val="accent5">
                    <a:lumMod val="60000"/>
                    <a:tint val="37000"/>
                    <a:satMod val="300000"/>
                  </a:schemeClr>
                </a:gs>
                <a:gs pos="100000">
                  <a:schemeClr val="accent5">
                    <a:lumMod val="60000"/>
                    <a:tint val="15000"/>
                    <a:satMod val="350000"/>
                  </a:schemeClr>
                </a:gs>
              </a:gsLst>
              <a:lin ang="16200000" scaled="1"/>
            </a:gradFill>
            <a:ln w="9525" cap="flat" cmpd="sng" algn="ctr">
              <a:solidFill>
                <a:schemeClr val="accent5">
                  <a:lumMod val="60000"/>
                  <a:shade val="95000"/>
                </a:schemeClr>
              </a:solidFill>
              <a:round/>
            </a:ln>
            <a:effectLst>
              <a:outerShdw blurRad="40000" dist="20000" dir="5400000" rotWithShape="0">
                <a:srgbClr val="000000">
                  <a:alpha val="38000"/>
                </a:srgbClr>
              </a:outerShdw>
            </a:effectLst>
            <a:sp3d contourW="9525">
              <a:contourClr>
                <a:schemeClr val="accent5">
                  <a:lumMod val="60000"/>
                  <a:shade val="95000"/>
                </a:schemeClr>
              </a:contourClr>
            </a:sp3d>
          </c:spPr>
          <c:cat>
            <c:numRef>
              <c:f>Output!$I$11:$AO$11</c:f>
              <c:numCache>
                <c:formatCode>General</c:formatCode>
                <c:ptCount val="33"/>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numCache>
            </c:numRef>
          </c:cat>
          <c:val>
            <c:numRef>
              <c:f>Output!$I$22:$AO$22</c:f>
              <c:numCache>
                <c:formatCode>"$"#,##0.00</c:formatCode>
                <c:ptCount val="33"/>
                <c:pt idx="0">
                  <c:v>1.4423044881450025</c:v>
                </c:pt>
                <c:pt idx="1">
                  <c:v>1.5167716161250495</c:v>
                </c:pt>
                <c:pt idx="2">
                  <c:v>1.5980878583024649</c:v>
                </c:pt>
                <c:pt idx="3">
                  <c:v>1.6834109217229591</c:v>
                </c:pt>
                <c:pt idx="4">
                  <c:v>1.7694959418091181</c:v>
                </c:pt>
                <c:pt idx="5">
                  <c:v>1.8619639887110733</c:v>
                </c:pt>
                <c:pt idx="6">
                  <c:v>1.9600643484407885</c:v>
                </c:pt>
                <c:pt idx="7">
                  <c:v>2.0640373908452689</c:v>
                </c:pt>
                <c:pt idx="8">
                  <c:v>2.1744091129963108</c:v>
                </c:pt>
                <c:pt idx="9">
                  <c:v>2.2914669458230472</c:v>
                </c:pt>
                <c:pt idx="10">
                  <c:v>2.4135429298354008</c:v>
                </c:pt>
                <c:pt idx="11">
                  <c:v>2.5422678942540613</c:v>
                </c:pt>
                <c:pt idx="12">
                  <c:v>2.6786907169723984</c:v>
                </c:pt>
                <c:pt idx="13">
                  <c:v>2.8236217362484588</c:v>
                </c:pt>
                <c:pt idx="14">
                  <c:v>2.9775208966268609</c:v>
                </c:pt>
                <c:pt idx="15">
                  <c:v>3.1411680665467991</c:v>
                </c:pt>
                <c:pt idx="16">
                  <c:v>3.3144853218861705</c:v>
                </c:pt>
                <c:pt idx="17">
                  <c:v>3.4986116651468508</c:v>
                </c:pt>
                <c:pt idx="18">
                  <c:v>3.6942768340839152</c:v>
                </c:pt>
                <c:pt idx="19">
                  <c:v>3.9023489330157459</c:v>
                </c:pt>
                <c:pt idx="20">
                  <c:v>4.1237613766423014</c:v>
                </c:pt>
                <c:pt idx="21">
                  <c:v>4.359517803562766</c:v>
                </c:pt>
                <c:pt idx="22">
                  <c:v>4.6106973594536234</c:v>
                </c:pt>
                <c:pt idx="23">
                  <c:v>4.8784603777177482</c:v>
                </c:pt>
                <c:pt idx="24">
                  <c:v>5.1640544875076815</c:v>
                </c:pt>
                <c:pt idx="25">
                  <c:v>5.4688211812758825</c:v>
                </c:pt>
                <c:pt idx="26">
                  <c:v>5.7942028764236575</c:v>
                </c:pt>
                <c:pt idx="27">
                  <c:v>6.1417505082214596</c:v>
                </c:pt>
                <c:pt idx="28">
                  <c:v>6.5131316939699264</c:v>
                </c:pt>
                <c:pt idx="29">
                  <c:v>6.9101395113779418</c:v>
                </c:pt>
                <c:pt idx="30">
                  <c:v>7.334701937367365</c:v>
                </c:pt>
                <c:pt idx="31">
                  <c:v>7.7888919969904666</c:v>
                </c:pt>
                <c:pt idx="32">
                  <c:v>8.2749386758842824</c:v>
                </c:pt>
              </c:numCache>
            </c:numRef>
          </c:val>
          <c:extLst>
            <c:ext xmlns:c16="http://schemas.microsoft.com/office/drawing/2014/chart" uri="{C3380CC4-5D6E-409C-BE32-E72D297353CC}">
              <c16:uniqueId val="{0000000A-1343-448F-89A2-8590D27FB4A8}"/>
            </c:ext>
          </c:extLst>
        </c:ser>
        <c:ser>
          <c:idx val="11"/>
          <c:order val="11"/>
          <c:tx>
            <c:strRef>
              <c:f>Output!$H$23</c:f>
              <c:strCache>
                <c:ptCount val="1"/>
                <c:pt idx="0">
                  <c:v>December</c:v>
                </c:pt>
              </c:strCache>
            </c:strRef>
          </c:tx>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a:sp3d contourW="9525">
              <a:contourClr>
                <a:schemeClr val="accent6">
                  <a:lumMod val="60000"/>
                  <a:shade val="95000"/>
                </a:schemeClr>
              </a:contourClr>
            </a:sp3d>
          </c:spPr>
          <c:cat>
            <c:numRef>
              <c:f>Output!$I$11:$AO$11</c:f>
              <c:numCache>
                <c:formatCode>General</c:formatCode>
                <c:ptCount val="33"/>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numCache>
            </c:numRef>
          </c:cat>
          <c:val>
            <c:numRef>
              <c:f>Output!$I$23:$AO$23</c:f>
              <c:numCache>
                <c:formatCode>"$"#,##0.00</c:formatCode>
                <c:ptCount val="33"/>
                <c:pt idx="0">
                  <c:v>1.4783895260873268</c:v>
                </c:pt>
                <c:pt idx="1">
                  <c:v>1.5533207738416765</c:v>
                </c:pt>
                <c:pt idx="2">
                  <c:v>1.6357982215028546</c:v>
                </c:pt>
                <c:pt idx="3">
                  <c:v>1.721802419214991</c:v>
                </c:pt>
                <c:pt idx="4">
                  <c:v>1.8085854489350304</c:v>
                </c:pt>
                <c:pt idx="5">
                  <c:v>1.9020595736732806</c:v>
                </c:pt>
                <c:pt idx="6">
                  <c:v>2.001137846172905</c:v>
                </c:pt>
                <c:pt idx="7">
                  <c:v>2.1061673399110057</c:v>
                </c:pt>
                <c:pt idx="8">
                  <c:v>2.2176964213123389</c:v>
                </c:pt>
                <c:pt idx="9">
                  <c:v>2.3359531884207634</c:v>
                </c:pt>
                <c:pt idx="10">
                  <c:v>2.4588845140899958</c:v>
                </c:pt>
                <c:pt idx="11">
                  <c:v>2.5886194497153419</c:v>
                </c:pt>
                <c:pt idx="12">
                  <c:v>2.7260757580957766</c:v>
                </c:pt>
                <c:pt idx="13">
                  <c:v>2.8721001591832573</c:v>
                </c:pt>
                <c:pt idx="14">
                  <c:v>3.0271172380998239</c:v>
                </c:pt>
                <c:pt idx="15">
                  <c:v>3.1919432983516667</c:v>
                </c:pt>
                <c:pt idx="16">
                  <c:v>3.3663987961604489</c:v>
                </c:pt>
                <c:pt idx="17">
                  <c:v>3.5516735438561615</c:v>
                </c:pt>
                <c:pt idx="18">
                  <c:v>3.7484871172282621</c:v>
                </c:pt>
                <c:pt idx="19">
                  <c:v>3.9577076205951287</c:v>
                </c:pt>
                <c:pt idx="20">
                  <c:v>4.1802684686567169</c:v>
                </c:pt>
                <c:pt idx="21">
                  <c:v>4.4171733000122169</c:v>
                </c:pt>
                <c:pt idx="22">
                  <c:v>4.669501260338107</c:v>
                </c:pt>
                <c:pt idx="23">
                  <c:v>4.9384126830372646</c:v>
                </c:pt>
                <c:pt idx="24">
                  <c:v>5.2251551972622341</c:v>
                </c:pt>
                <c:pt idx="25">
                  <c:v>5.5310702954654705</c:v>
                </c:pt>
                <c:pt idx="26">
                  <c:v>5.8576003950482791</c:v>
                </c:pt>
                <c:pt idx="27">
                  <c:v>6.2062964312811157</c:v>
                </c:pt>
                <c:pt idx="28">
                  <c:v>6.578826021464617</c:v>
                </c:pt>
                <c:pt idx="29">
                  <c:v>6.9769822433076651</c:v>
                </c:pt>
                <c:pt idx="30">
                  <c:v>7.4026930737321237</c:v>
                </c:pt>
                <c:pt idx="31">
                  <c:v>7.8580315377902572</c:v>
                </c:pt>
                <c:pt idx="32">
                  <c:v>8.3452266211191084</c:v>
                </c:pt>
              </c:numCache>
            </c:numRef>
          </c:val>
          <c:extLst>
            <c:ext xmlns:c16="http://schemas.microsoft.com/office/drawing/2014/chart" uri="{C3380CC4-5D6E-409C-BE32-E72D297353CC}">
              <c16:uniqueId val="{0000000B-1343-448F-89A2-8590D27FB4A8}"/>
            </c:ext>
          </c:extLst>
        </c:ser>
        <c:bandFmts>
          <c:bandFmt>
            <c:idx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bandFmt>
          <c:bandFmt>
            <c:idx val="1"/>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bandFmt>
          <c:bandFmt>
            <c:idx val="2"/>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bandFmt>
          <c:bandFmt>
            <c:idx val="3"/>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a:sp3d contourW="9525">
                <a:contourClr>
                  <a:schemeClr val="accent4">
                    <a:shade val="95000"/>
                  </a:schemeClr>
                </a:contourClr>
              </a:sp3d>
            </c:spPr>
          </c:bandFmt>
          <c:bandFmt>
            <c:idx val="4"/>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a:sp3d contourW="9525">
                <a:contourClr>
                  <a:schemeClr val="accent5">
                    <a:shade val="95000"/>
                  </a:schemeClr>
                </a:contourClr>
              </a:sp3d>
            </c:spPr>
          </c:bandFmt>
          <c:bandFmt>
            <c:idx val="5"/>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a:sp3d contourW="9525">
                <a:contourClr>
                  <a:schemeClr val="accent6">
                    <a:shade val="95000"/>
                  </a:schemeClr>
                </a:contourClr>
              </a:sp3d>
            </c:spPr>
          </c:bandFmt>
          <c:bandFmt>
            <c:idx val="6"/>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a:sp3d contourW="9525">
                <a:contourClr>
                  <a:schemeClr val="accent1">
                    <a:lumMod val="60000"/>
                    <a:shade val="95000"/>
                  </a:schemeClr>
                </a:contourClr>
              </a:sp3d>
            </c:spPr>
          </c:bandFmt>
          <c:bandFmt>
            <c:idx val="7"/>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a:sp3d contourW="9525">
                <a:contourClr>
                  <a:schemeClr val="accent2">
                    <a:lumMod val="60000"/>
                    <a:shade val="95000"/>
                  </a:schemeClr>
                </a:contourClr>
              </a:sp3d>
            </c:spPr>
          </c:bandFmt>
          <c:bandFmt>
            <c:idx val="8"/>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a:sp3d contourW="9525">
                <a:contourClr>
                  <a:schemeClr val="accent3">
                    <a:lumMod val="60000"/>
                    <a:shade val="95000"/>
                  </a:schemeClr>
                </a:contourClr>
              </a:sp3d>
            </c:spPr>
          </c:bandFmt>
          <c:bandFmt>
            <c:idx val="9"/>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a:sp3d contourW="9525">
                <a:contourClr>
                  <a:schemeClr val="accent4">
                    <a:lumMod val="60000"/>
                    <a:shade val="95000"/>
                  </a:schemeClr>
                </a:contourClr>
              </a:sp3d>
            </c:spPr>
          </c:bandFmt>
          <c:bandFmt>
            <c:idx val="10"/>
            <c:spPr>
              <a:gradFill rotWithShape="1">
                <a:gsLst>
                  <a:gs pos="0">
                    <a:schemeClr val="accent5">
                      <a:lumMod val="60000"/>
                      <a:tint val="50000"/>
                      <a:satMod val="300000"/>
                    </a:schemeClr>
                  </a:gs>
                  <a:gs pos="35000">
                    <a:schemeClr val="accent5">
                      <a:lumMod val="60000"/>
                      <a:tint val="37000"/>
                      <a:satMod val="300000"/>
                    </a:schemeClr>
                  </a:gs>
                  <a:gs pos="100000">
                    <a:schemeClr val="accent5">
                      <a:lumMod val="60000"/>
                      <a:tint val="15000"/>
                      <a:satMod val="350000"/>
                    </a:schemeClr>
                  </a:gs>
                </a:gsLst>
                <a:lin ang="16200000" scaled="1"/>
              </a:gradFill>
              <a:ln w="9525" cap="flat" cmpd="sng" algn="ctr">
                <a:solidFill>
                  <a:schemeClr val="accent5">
                    <a:lumMod val="60000"/>
                    <a:shade val="95000"/>
                  </a:schemeClr>
                </a:solidFill>
                <a:round/>
              </a:ln>
              <a:effectLst>
                <a:outerShdw blurRad="40000" dist="20000" dir="5400000" rotWithShape="0">
                  <a:srgbClr val="000000">
                    <a:alpha val="38000"/>
                  </a:srgbClr>
                </a:outerShdw>
              </a:effectLst>
              <a:sp3d contourW="9525">
                <a:contourClr>
                  <a:schemeClr val="accent5">
                    <a:lumMod val="60000"/>
                    <a:shade val="95000"/>
                  </a:schemeClr>
                </a:contourClr>
              </a:sp3d>
            </c:spPr>
          </c:bandFmt>
          <c:bandFmt>
            <c:idx val="11"/>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a:sp3d contourW="9525">
                <a:contourClr>
                  <a:schemeClr val="accent6">
                    <a:lumMod val="60000"/>
                    <a:shade val="95000"/>
                  </a:schemeClr>
                </a:contourClr>
              </a:sp3d>
            </c:spPr>
          </c:bandFmt>
          <c:bandFmt>
            <c:idx val="12"/>
            <c:spPr>
              <a:gradFill rotWithShape="1">
                <a:gsLst>
                  <a:gs pos="0">
                    <a:schemeClr val="accent1">
                      <a:lumMod val="80000"/>
                      <a:lumOff val="20000"/>
                      <a:tint val="50000"/>
                      <a:satMod val="300000"/>
                    </a:schemeClr>
                  </a:gs>
                  <a:gs pos="35000">
                    <a:schemeClr val="accent1">
                      <a:lumMod val="80000"/>
                      <a:lumOff val="20000"/>
                      <a:tint val="37000"/>
                      <a:satMod val="300000"/>
                    </a:schemeClr>
                  </a:gs>
                  <a:gs pos="100000">
                    <a:schemeClr val="accent1">
                      <a:lumMod val="80000"/>
                      <a:lumOff val="20000"/>
                      <a:tint val="15000"/>
                      <a:satMod val="350000"/>
                    </a:schemeClr>
                  </a:gs>
                </a:gsLst>
                <a:lin ang="16200000" scaled="1"/>
              </a:gradFill>
              <a:ln w="9525" cap="flat" cmpd="sng" algn="ctr">
                <a:solidFill>
                  <a:schemeClr val="accent1">
                    <a:lumMod val="80000"/>
                    <a:lumOff val="20000"/>
                    <a:shade val="95000"/>
                  </a:schemeClr>
                </a:solidFill>
                <a:round/>
              </a:ln>
              <a:effectLst>
                <a:outerShdw blurRad="40000" dist="20000" dir="5400000" rotWithShape="0">
                  <a:srgbClr val="000000">
                    <a:alpha val="38000"/>
                  </a:srgbClr>
                </a:outerShdw>
              </a:effectLst>
              <a:sp3d contourW="9525">
                <a:contourClr>
                  <a:schemeClr val="accent1">
                    <a:lumMod val="80000"/>
                    <a:lumOff val="20000"/>
                    <a:shade val="95000"/>
                  </a:schemeClr>
                </a:contourClr>
              </a:sp3d>
            </c:spPr>
          </c:bandFmt>
          <c:bandFmt>
            <c:idx val="13"/>
            <c:spPr>
              <a:gradFill rotWithShape="1">
                <a:gsLst>
                  <a:gs pos="0">
                    <a:schemeClr val="accent2">
                      <a:lumMod val="80000"/>
                      <a:lumOff val="20000"/>
                      <a:tint val="50000"/>
                      <a:satMod val="300000"/>
                    </a:schemeClr>
                  </a:gs>
                  <a:gs pos="35000">
                    <a:schemeClr val="accent2">
                      <a:lumMod val="80000"/>
                      <a:lumOff val="20000"/>
                      <a:tint val="37000"/>
                      <a:satMod val="300000"/>
                    </a:schemeClr>
                  </a:gs>
                  <a:gs pos="100000">
                    <a:schemeClr val="accent2">
                      <a:lumMod val="80000"/>
                      <a:lumOff val="20000"/>
                      <a:tint val="15000"/>
                      <a:satMod val="350000"/>
                    </a:schemeClr>
                  </a:gs>
                </a:gsLst>
                <a:lin ang="16200000" scaled="1"/>
              </a:gradFill>
              <a:ln w="9525" cap="flat" cmpd="sng" algn="ctr">
                <a:solidFill>
                  <a:schemeClr val="accent2">
                    <a:lumMod val="80000"/>
                    <a:lumOff val="20000"/>
                    <a:shade val="95000"/>
                  </a:schemeClr>
                </a:solidFill>
                <a:round/>
              </a:ln>
              <a:effectLst>
                <a:outerShdw blurRad="40000" dist="20000" dir="5400000" rotWithShape="0">
                  <a:srgbClr val="000000">
                    <a:alpha val="38000"/>
                  </a:srgbClr>
                </a:outerShdw>
              </a:effectLst>
              <a:sp3d contourW="9525">
                <a:contourClr>
                  <a:schemeClr val="accent2">
                    <a:lumMod val="80000"/>
                    <a:lumOff val="20000"/>
                    <a:shade val="95000"/>
                  </a:schemeClr>
                </a:contourClr>
              </a:sp3d>
            </c:spPr>
          </c:bandFmt>
          <c:bandFmt>
            <c:idx val="14"/>
            <c:spPr>
              <a:gradFill rotWithShape="1">
                <a:gsLst>
                  <a:gs pos="0">
                    <a:schemeClr val="accent3">
                      <a:lumMod val="80000"/>
                      <a:lumOff val="20000"/>
                      <a:tint val="50000"/>
                      <a:satMod val="300000"/>
                    </a:schemeClr>
                  </a:gs>
                  <a:gs pos="35000">
                    <a:schemeClr val="accent3">
                      <a:lumMod val="80000"/>
                      <a:lumOff val="20000"/>
                      <a:tint val="37000"/>
                      <a:satMod val="300000"/>
                    </a:schemeClr>
                  </a:gs>
                  <a:gs pos="100000">
                    <a:schemeClr val="accent3">
                      <a:lumMod val="80000"/>
                      <a:lumOff val="20000"/>
                      <a:tint val="15000"/>
                      <a:satMod val="350000"/>
                    </a:schemeClr>
                  </a:gs>
                </a:gsLst>
                <a:lin ang="16200000" scaled="1"/>
              </a:gradFill>
              <a:ln w="9525" cap="flat" cmpd="sng" algn="ctr">
                <a:solidFill>
                  <a:schemeClr val="accent3">
                    <a:lumMod val="80000"/>
                    <a:lumOff val="20000"/>
                    <a:shade val="95000"/>
                  </a:schemeClr>
                </a:solidFill>
                <a:round/>
              </a:ln>
              <a:effectLst>
                <a:outerShdw blurRad="40000" dist="20000" dir="5400000" rotWithShape="0">
                  <a:srgbClr val="000000">
                    <a:alpha val="38000"/>
                  </a:srgbClr>
                </a:outerShdw>
              </a:effectLst>
              <a:sp3d contourW="9525">
                <a:contourClr>
                  <a:schemeClr val="accent3">
                    <a:lumMod val="80000"/>
                    <a:lumOff val="20000"/>
                    <a:shade val="95000"/>
                  </a:schemeClr>
                </a:contourClr>
              </a:sp3d>
            </c:spPr>
          </c:bandFmt>
        </c:bandFmts>
        <c:axId val="450141184"/>
        <c:axId val="450147072"/>
        <c:axId val="450113024"/>
      </c:surface3DChart>
      <c:catAx>
        <c:axId val="4501411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50147072"/>
        <c:crosses val="autoZero"/>
        <c:auto val="1"/>
        <c:lblAlgn val="ctr"/>
        <c:lblOffset val="100"/>
        <c:tickLblSkip val="3"/>
        <c:tickMarkSkip val="1"/>
        <c:noMultiLvlLbl val="1"/>
      </c:catAx>
      <c:valAx>
        <c:axId val="450147072"/>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Avoided Cost 
(Nominal $/Therm)</a:t>
                </a:r>
              </a:p>
            </c:rich>
          </c:tx>
          <c:layout>
            <c:manualLayout>
              <c:xMode val="edge"/>
              <c:yMode val="edge"/>
              <c:x val="0.67993079584775085"/>
              <c:y val="0.2716766839729215"/>
            </c:manualLayout>
          </c:layout>
          <c:overlay val="0"/>
          <c:spPr>
            <a:noFill/>
            <a:ln>
              <a:noFill/>
            </a:ln>
            <a:effectLst/>
          </c:spPr>
        </c:title>
        <c:numFmt formatCode="&quot;$&quot;#,##0.00" sourceLinked="1"/>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50141184"/>
        <c:crosses val="max"/>
        <c:crossBetween val="between"/>
      </c:valAx>
      <c:serAx>
        <c:axId val="4501130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50147072"/>
        <c:crosses val="autoZero"/>
        <c:tickLblSkip val="7"/>
        <c:tickMarkSkip val="1"/>
      </c:serAx>
      <c:spPr>
        <a:noFill/>
        <a:ln>
          <a:noFill/>
        </a:ln>
        <a:effectLst/>
      </c:spPr>
    </c:plotArea>
    <c:legend>
      <c:legendPos val="b"/>
      <c:legendEntry>
        <c:idx val="0"/>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en-US"/>
          </a:p>
        </c:txPr>
      </c:legendEntry>
      <c:legendEntry>
        <c:idx val="1"/>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16" fmlaLink="C5" fmlaRange="'drop downs'!$B$3:$B$5" noThreeD="1" sel="1" val="0"/>
</file>

<file path=xl/ctrlProps/ctrlProp2.xml><?xml version="1.0" encoding="utf-8"?>
<formControlPr xmlns="http://schemas.microsoft.com/office/spreadsheetml/2009/9/main" objectType="Drop" dropLines="3" dropStyle="combo" dx="16" fmlaLink="$C$6" fmlaRange="'drop downs'!$B$7:$B$9" noThreeD="1" sel="1" val="0"/>
</file>

<file path=xl/ctrlProps/ctrlProp3.xml><?xml version="1.0" encoding="utf-8"?>
<formControlPr xmlns="http://schemas.microsoft.com/office/spreadsheetml/2009/9/main" objectType="Drop" dropLines="3" dropStyle="combo" dx="16" fmlaLink="C7" fmlaRange="'drop downs'!$B$19:$B$21" noThreeD="1" sel="3" val="0"/>
</file>

<file path=xl/ctrlProps/ctrlProp4.xml><?xml version="1.0" encoding="utf-8"?>
<formControlPr xmlns="http://schemas.microsoft.com/office/spreadsheetml/2009/9/main" objectType="Drop" dropLines="3" dropStyle="combo" dx="16" fmlaLink="C8" fmlaRange="'drop downs'!$B$23:$B$2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584834</xdr:colOff>
      <xdr:row>13</xdr:row>
      <xdr:rowOff>131445</xdr:rowOff>
    </xdr:from>
    <xdr:to>
      <xdr:col>8</xdr:col>
      <xdr:colOff>421004</xdr:colOff>
      <xdr:row>21</xdr:row>
      <xdr:rowOff>127635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4834" y="2425065"/>
          <a:ext cx="533019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Gas Model is designed to output information used</a:t>
          </a:r>
          <a:r>
            <a:rPr lang="en-US" sz="1100" baseline="0"/>
            <a:t> for the evaluation of energy efficiency programs that impact natural gas usage. The model uses a simple representation of gas avoided costs (commodity and T&amp;D capacity).  </a:t>
          </a:r>
        </a:p>
        <a:p>
          <a:endParaRPr lang="en-US" sz="1100"/>
        </a:p>
        <a:p>
          <a:r>
            <a:rPr lang="en-US" sz="1100"/>
            <a:t>To generate results, the user</a:t>
          </a:r>
          <a:r>
            <a:rPr lang="en-US" sz="1100" baseline="0"/>
            <a:t> need only change inputs of the User Dashboard tab.  The monthly output is shown at the bottom of that tab.</a:t>
          </a:r>
          <a:endParaRPr lang="en-US" sz="1100"/>
        </a:p>
      </xdr:txBody>
    </xdr:sp>
    <xdr:clientData/>
  </xdr:twoCellAnchor>
  <xdr:twoCellAnchor editAs="oneCell">
    <xdr:from>
      <xdr:col>1</xdr:col>
      <xdr:colOff>19050</xdr:colOff>
      <xdr:row>4</xdr:row>
      <xdr:rowOff>47625</xdr:rowOff>
    </xdr:from>
    <xdr:to>
      <xdr:col>5</xdr:col>
      <xdr:colOff>17730</xdr:colOff>
      <xdr:row>7</xdr:row>
      <xdr:rowOff>57150</xdr:rowOff>
    </xdr:to>
    <xdr:pic>
      <xdr:nvPicPr>
        <xdr:cNvPr id="3" name="Picture 2" descr="E3 fin logo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340" t="19754" b="65335"/>
        <a:stretch>
          <a:fillRect/>
        </a:stretch>
      </xdr:blipFill>
      <xdr:spPr bwMode="auto">
        <a:xfrm>
          <a:off x="514350" y="1066800"/>
          <a:ext cx="33876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xdr:row>
      <xdr:rowOff>47625</xdr:rowOff>
    </xdr:from>
    <xdr:to>
      <xdr:col>5</xdr:col>
      <xdr:colOff>553720</xdr:colOff>
      <xdr:row>7</xdr:row>
      <xdr:rowOff>57150</xdr:rowOff>
    </xdr:to>
    <xdr:pic>
      <xdr:nvPicPr>
        <xdr:cNvPr id="4" name="Picture 1" descr="E3 fin logos">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340" t="19754" b="65335"/>
        <a:stretch>
          <a:fillRect/>
        </a:stretch>
      </xdr:blipFill>
      <xdr:spPr bwMode="auto">
        <a:xfrm>
          <a:off x="590550" y="936625"/>
          <a:ext cx="3752850" cy="527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0</xdr:colOff>
          <xdr:row>5</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6</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0</xdr:colOff>
          <xdr:row>7</xdr:row>
          <xdr:rowOff>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0</xdr:colOff>
          <xdr:row>8</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38100</xdr:colOff>
      <xdr:row>24</xdr:row>
      <xdr:rowOff>47625</xdr:rowOff>
    </xdr:from>
    <xdr:to>
      <xdr:col>10</xdr:col>
      <xdr:colOff>0</xdr:colOff>
      <xdr:row>44</xdr:row>
      <xdr:rowOff>85725</xdr:rowOff>
    </xdr:to>
    <xdr:graphicFrame macro="">
      <xdr:nvGraphicFramePr>
        <xdr:cNvPr id="2050" name="Chart 2">
          <a:extLst>
            <a:ext uri="{FF2B5EF4-FFF2-40B4-BE49-F238E27FC236}">
              <a16:creationId xmlns:a16="http://schemas.microsoft.com/office/drawing/2014/main" id="{00000000-0008-0000-02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180975</xdr:colOff>
      <xdr:row>24</xdr:row>
      <xdr:rowOff>28575</xdr:rowOff>
    </xdr:from>
    <xdr:to>
      <xdr:col>19</xdr:col>
      <xdr:colOff>200025</xdr:colOff>
      <xdr:row>44</xdr:row>
      <xdr:rowOff>85725</xdr:rowOff>
    </xdr:to>
    <xdr:graphicFrame macro="">
      <xdr:nvGraphicFramePr>
        <xdr:cNvPr id="2051" name="Chart 3">
          <a:extLst>
            <a:ext uri="{FF2B5EF4-FFF2-40B4-BE49-F238E27FC236}">
              <a16:creationId xmlns:a16="http://schemas.microsoft.com/office/drawing/2014/main" id="{00000000-0008-0000-0200-00000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hreesf.sharepoint.com/Sffs01/rv%20team/Link%20Busta%20(DO%20NOT%20DELETE%20THIS%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hreesf.sharepoint.com/M:/USERS/EMosley/General%20Marketing/Bloomberg%20One%20Pa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 val="LCOE"/>
      <sheetName val="Scratch and Validation Rules"/>
      <sheetName val="MA SREC Prices"/>
      <sheetName val="Drop Down"/>
      <sheetName val="Topaz_Wind_LLC"/>
      <sheetName val="Update_Tracker"/>
      <sheetName val="Dash"/>
      <sheetName val="Main_Inputs"/>
      <sheetName val="CTB"/>
      <sheetName val="Post-Flip PAYG"/>
      <sheetName val="Topaz_Wind_LLC_Allocations"/>
      <sheetName val="Tax_Equity_Accounts"/>
      <sheetName val="Metrics"/>
      <sheetName val="XIRR_Flip_Tracker"/>
      <sheetName val="CD_EY Cost Seg_Tax"/>
      <sheetName val="CD_EY Cost Seg_Val"/>
      <sheetName val="HH1_EY Cost Seg_Tax"/>
      <sheetName val="HH1_EY Cost Seg_Val"/>
      <sheetName val="COD_Depr_Inputs"/>
      <sheetName val="2017_Tax_Depr"/>
      <sheetName val="CD_PTC Exp_1.5_87"/>
      <sheetName val="CD_PTC Exp_1.5_77"/>
      <sheetName val="HH1_PTC Exp_1.5_87"/>
      <sheetName val="HH1_PTC Exp_1.5_87a"/>
      <sheetName val="Hours In Period"/>
      <sheetName val="OM_Inputs"/>
      <sheetName val="CD_Pro_Forma"/>
      <sheetName val="HH1_Pro_Forma"/>
      <sheetName val="CD_Rev_Build"/>
      <sheetName val="HH1_Rev_Build"/>
      <sheetName val="Rev_Inputs"/>
      <sheetName val="Hedge &amp; TA"/>
      <sheetName val="Merchant_and_Rec_Pricing"/>
      <sheetName val="NEER_Accounting"/>
      <sheetName val="Defd_Contrib_Sched"/>
      <sheetName val="Schedule 4.3(k)"/>
      <sheetName val="12x24_Inputs"/>
      <sheetName val="SREC Curves"/>
      <sheetName val="Link_Busta_(DO_NOT_DELETE_THIS_"/>
      <sheetName val="IA_-_Summary"/>
      <sheetName val="7_Qtr_(1Q00-3Q01)"/>
      <sheetName val="Assumptions_and_Inputs"/>
      <sheetName val="Risk_Data"/>
      <sheetName val="Bal_Sht_9-30-01"/>
      <sheetName val="Do_not_use"/>
      <sheetName val="Cost_to_Customer"/>
      <sheetName val="Projections_2"/>
      <sheetName val="Historical_IS"/>
      <sheetName val="Detail_Schedules"/>
      <sheetName val="Trends_&amp;_Rates"/>
      <sheetName val="Deferred_Maint_-_old"/>
      <sheetName val="Deferred_Add"/>
      <sheetName val="Proj__Financials"/>
      <sheetName val="Iowa_Curves"/>
      <sheetName val="WP_Hist_ABC"/>
      <sheetName val="Exb_II_1_Summary_Taira"/>
      <sheetName val="Exh B-8"/>
      <sheetName val="Exh B-5"/>
      <sheetName val="Exh B-2"/>
      <sheetName val="Exh B-6"/>
      <sheetName val="Exh B-4"/>
      <sheetName val="Exh B-3"/>
      <sheetName val="Exh B-7"/>
      <sheetName val="Exh B-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Pager"/>
      <sheetName val="1st Bond"/>
      <sheetName val="2nd Bond"/>
      <sheetName val="3rd Bond"/>
      <sheetName val="Quote"/>
    </sheetNames>
    <sheetDataSet>
      <sheetData sheetId="0" refreshError="1">
        <row r="2">
          <cell r="A2" t="str">
            <v>One New Orchard Road, Armonk, NY 10504, United States</v>
          </cell>
          <cell r="G2" t="str">
            <v>N.A.</v>
          </cell>
          <cell r="I2" t="str">
            <v>914-499-1900</v>
          </cell>
        </row>
        <row r="3">
          <cell r="Q3" t="str">
            <v>One New Orchard Road</v>
          </cell>
        </row>
        <row r="5">
          <cell r="A5" t="str">
            <v>Description</v>
          </cell>
        </row>
        <row r="6">
          <cell r="A6" t="str">
            <v>International Business Machines Corporation (IBM) provides customer solutions</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E3">
      <a:dk1>
        <a:sysClr val="windowText" lastClr="000000"/>
      </a:dk1>
      <a:lt1>
        <a:sysClr val="window" lastClr="FFFFFF"/>
      </a:lt1>
      <a:dk2>
        <a:srgbClr val="315361"/>
      </a:dk2>
      <a:lt2>
        <a:srgbClr val="EEECE1"/>
      </a:lt2>
      <a:accent1>
        <a:srgbClr val="034E6E"/>
      </a:accent1>
      <a:accent2>
        <a:srgbClr val="AF7E00"/>
      </a:accent2>
      <a:accent3>
        <a:srgbClr val="AF2200"/>
      </a:accent3>
      <a:accent4>
        <a:srgbClr val="007E33"/>
      </a:accent4>
      <a:accent5>
        <a:srgbClr val="AF5D00"/>
      </a:accent5>
      <a:accent6>
        <a:srgbClr val="0A1978"/>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energy.ca.gov/programs-and-topics/topics/energy-assessment/natural-gas-burner-tip-prices-california-and-western" TargetMode="External"/><Relationship Id="rId2" Type="http://schemas.openxmlformats.org/officeDocument/2006/relationships/hyperlink" Target="https://www.energy.ca.gov/data-reports/reports/integrated-energy-policy-report/2020-integrated-energy-policy-report-update" TargetMode="External"/><Relationship Id="rId1" Type="http://schemas.openxmlformats.org/officeDocument/2006/relationships/hyperlink" Target="https://www.energy.ca.gov/programs-and-topics/topics/energy-assessment/natural-gas-burner-tip-prices-california-and-western" TargetMode="External"/><Relationship Id="rId4"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bea.gov/glossary/glossary.cfm?key_word=chained_dollar&amp;letter=C" TargetMode="External"/><Relationship Id="rId1" Type="http://schemas.openxmlformats.org/officeDocument/2006/relationships/hyperlink" Target="http://bea.gov/faq/index.cfm?faq_id=513"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ea.gov/glossary/glossary.cfm?key_word=chained_dollar&amp;letter=C" TargetMode="External"/><Relationship Id="rId1" Type="http://schemas.openxmlformats.org/officeDocument/2006/relationships/hyperlink" Target="http://bea.gov/faq/index.cfm?faq_id=513"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6"/>
  </sheetPr>
  <dimension ref="A1:AN81"/>
  <sheetViews>
    <sheetView tabSelected="1" workbookViewId="0">
      <selection activeCell="F12" sqref="F12"/>
    </sheetView>
  </sheetViews>
  <sheetFormatPr defaultColWidth="9" defaultRowHeight="13.8"/>
  <cols>
    <col min="2" max="2" width="19.33203125" customWidth="1"/>
    <col min="3" max="3" width="13.5546875" customWidth="1"/>
    <col min="11" max="11" width="25.6640625" bestFit="1" customWidth="1"/>
    <col min="12" max="40" width="9" style="203"/>
  </cols>
  <sheetData>
    <row r="1" spans="1:11">
      <c r="A1" s="203"/>
      <c r="B1" s="203"/>
      <c r="C1" s="203"/>
      <c r="D1" s="203"/>
      <c r="E1" s="203"/>
      <c r="F1" s="203"/>
      <c r="G1" s="203"/>
      <c r="H1" s="203"/>
      <c r="I1" s="203"/>
      <c r="J1" s="203"/>
      <c r="K1" s="203"/>
    </row>
    <row r="2" spans="1:11" ht="25.8">
      <c r="A2" s="203"/>
      <c r="B2" s="199" t="s">
        <v>434</v>
      </c>
      <c r="C2" s="200"/>
      <c r="D2" s="203"/>
      <c r="E2" s="203"/>
      <c r="F2" s="203"/>
      <c r="G2" s="203"/>
      <c r="H2" s="203"/>
      <c r="I2" s="203"/>
      <c r="J2" s="203"/>
      <c r="K2" s="203"/>
    </row>
    <row r="3" spans="1:11" ht="15.6">
      <c r="A3" s="203"/>
      <c r="B3" s="201" t="s">
        <v>529</v>
      </c>
      <c r="C3" s="200"/>
      <c r="D3" s="203"/>
      <c r="E3" s="203"/>
      <c r="F3" s="203"/>
      <c r="G3" s="203"/>
      <c r="H3" s="203"/>
      <c r="I3" s="203"/>
      <c r="J3" s="203"/>
      <c r="K3" s="203"/>
    </row>
    <row r="4" spans="1:11">
      <c r="A4" s="203"/>
      <c r="B4" s="202" t="s">
        <v>429</v>
      </c>
      <c r="C4" s="200"/>
      <c r="D4" s="203"/>
      <c r="E4" s="203"/>
      <c r="F4" s="203"/>
      <c r="G4" s="203"/>
      <c r="H4" s="203"/>
      <c r="I4" s="203"/>
      <c r="J4" s="203"/>
      <c r="K4" s="203"/>
    </row>
    <row r="5" spans="1:11">
      <c r="A5" s="203"/>
      <c r="B5" s="200"/>
      <c r="C5" s="200"/>
      <c r="D5" s="203"/>
      <c r="E5" s="203"/>
      <c r="F5" s="203"/>
      <c r="G5" s="203"/>
      <c r="H5" s="203"/>
      <c r="I5" s="203"/>
      <c r="J5" s="203"/>
      <c r="K5" s="203"/>
    </row>
    <row r="6" spans="1:11">
      <c r="A6" s="203"/>
      <c r="B6" s="200"/>
      <c r="C6" s="200"/>
      <c r="D6" s="203"/>
      <c r="E6" s="203"/>
      <c r="F6" s="203"/>
      <c r="G6" s="203"/>
      <c r="H6" s="203"/>
      <c r="I6" s="203"/>
      <c r="J6" s="203"/>
      <c r="K6" s="203"/>
    </row>
    <row r="7" spans="1:11">
      <c r="A7" s="203"/>
      <c r="B7" s="200"/>
      <c r="C7" s="200"/>
      <c r="D7" s="203"/>
      <c r="E7" s="203"/>
      <c r="F7" s="203"/>
      <c r="G7" s="203"/>
      <c r="H7" s="203"/>
      <c r="I7" s="203"/>
      <c r="J7" s="203"/>
      <c r="K7" s="203"/>
    </row>
    <row r="8" spans="1:11">
      <c r="A8" s="203"/>
      <c r="B8" s="200"/>
      <c r="C8" s="200"/>
      <c r="D8" s="203"/>
      <c r="E8" s="203"/>
      <c r="F8" s="203"/>
      <c r="G8" s="203"/>
      <c r="H8" s="203"/>
      <c r="I8" s="203"/>
      <c r="J8" s="203"/>
      <c r="K8" s="203"/>
    </row>
    <row r="9" spans="1:11">
      <c r="A9" s="203"/>
      <c r="B9" s="259" t="s">
        <v>430</v>
      </c>
      <c r="C9" s="259"/>
      <c r="D9" s="203"/>
      <c r="E9" s="203"/>
      <c r="F9" s="203"/>
      <c r="G9" s="203"/>
      <c r="H9" s="203"/>
      <c r="I9" s="203"/>
      <c r="J9" s="203"/>
      <c r="K9" s="203"/>
    </row>
    <row r="10" spans="1:11">
      <c r="A10" s="203"/>
      <c r="B10" s="259" t="s">
        <v>431</v>
      </c>
      <c r="C10" s="259"/>
      <c r="D10" s="203"/>
      <c r="E10" s="203"/>
      <c r="F10" s="203"/>
      <c r="G10" s="203"/>
      <c r="H10" s="203"/>
      <c r="I10" s="203"/>
      <c r="J10" s="203"/>
      <c r="K10" s="203"/>
    </row>
    <row r="11" spans="1:11">
      <c r="A11" s="203"/>
      <c r="B11" s="259" t="s">
        <v>432</v>
      </c>
      <c r="C11" s="259"/>
      <c r="D11" s="203"/>
      <c r="E11" s="203"/>
      <c r="F11" s="203"/>
      <c r="G11" s="203"/>
      <c r="H11" s="203"/>
      <c r="I11" s="203"/>
      <c r="J11" s="203"/>
      <c r="K11" s="203"/>
    </row>
    <row r="12" spans="1:11">
      <c r="A12" s="203"/>
      <c r="B12" s="259" t="s">
        <v>433</v>
      </c>
      <c r="C12" s="259"/>
      <c r="D12" s="203"/>
      <c r="E12" s="203"/>
      <c r="F12" s="203"/>
      <c r="G12" s="203"/>
      <c r="H12" s="203"/>
      <c r="I12" s="203"/>
      <c r="J12" s="203"/>
      <c r="K12" s="203"/>
    </row>
    <row r="13" spans="1:11">
      <c r="A13" s="203"/>
      <c r="B13" s="260">
        <v>44785</v>
      </c>
      <c r="C13" s="260"/>
      <c r="D13" s="203"/>
      <c r="E13" s="203"/>
      <c r="F13" s="203"/>
      <c r="G13" s="203"/>
      <c r="H13" s="203"/>
      <c r="I13" s="203"/>
      <c r="J13" s="203"/>
      <c r="K13" s="203"/>
    </row>
    <row r="14" spans="1:11">
      <c r="A14" s="203"/>
      <c r="B14" s="203"/>
      <c r="C14" s="203"/>
      <c r="D14" s="203"/>
      <c r="E14" s="203"/>
      <c r="F14" s="203"/>
      <c r="G14" s="203"/>
      <c r="H14" s="203"/>
      <c r="I14" s="203"/>
      <c r="J14" s="203"/>
      <c r="K14" s="203"/>
    </row>
    <row r="15" spans="1:11">
      <c r="A15" s="203"/>
      <c r="B15" s="203"/>
      <c r="C15" s="203"/>
      <c r="D15" s="203"/>
      <c r="E15" s="203"/>
      <c r="F15" s="203"/>
      <c r="G15" s="203"/>
      <c r="H15" s="203"/>
      <c r="I15" s="203"/>
      <c r="J15" s="203"/>
      <c r="K15" s="203"/>
    </row>
    <row r="16" spans="1:11">
      <c r="A16" s="203"/>
      <c r="B16" s="203"/>
      <c r="C16" s="203"/>
      <c r="D16" s="203"/>
      <c r="E16" s="203"/>
      <c r="F16" s="203"/>
      <c r="G16" s="203"/>
      <c r="H16" s="203"/>
      <c r="I16" s="203"/>
      <c r="J16" s="203"/>
      <c r="K16" s="203"/>
    </row>
    <row r="17" spans="1:11">
      <c r="A17" s="203"/>
      <c r="B17" s="203"/>
      <c r="C17" s="203"/>
      <c r="D17" s="203"/>
      <c r="E17" s="203"/>
      <c r="F17" s="203"/>
      <c r="G17" s="203"/>
      <c r="H17" s="203"/>
      <c r="I17" s="203"/>
      <c r="J17" s="203"/>
      <c r="K17" s="203"/>
    </row>
    <row r="18" spans="1:11">
      <c r="A18" s="203"/>
      <c r="B18" s="203"/>
      <c r="C18" s="203"/>
      <c r="D18" s="203"/>
      <c r="E18" s="203"/>
      <c r="F18" s="203"/>
      <c r="G18" s="203"/>
      <c r="H18" s="203"/>
      <c r="I18" s="203"/>
      <c r="J18" s="203"/>
      <c r="K18" s="203"/>
    </row>
    <row r="19" spans="1:11">
      <c r="A19" s="203"/>
      <c r="B19" s="203"/>
      <c r="C19" s="203"/>
      <c r="D19" s="203"/>
      <c r="E19" s="203"/>
      <c r="F19" s="203"/>
      <c r="G19" s="203"/>
      <c r="H19" s="203"/>
      <c r="I19" s="203"/>
      <c r="J19" s="203"/>
      <c r="K19" s="203"/>
    </row>
    <row r="20" spans="1:11">
      <c r="A20" s="203"/>
      <c r="B20" s="203"/>
      <c r="C20" s="203"/>
      <c r="D20" s="203"/>
      <c r="E20" s="203"/>
      <c r="F20" s="203"/>
      <c r="G20" s="203"/>
      <c r="H20" s="203"/>
      <c r="I20" s="203"/>
      <c r="J20" s="203"/>
      <c r="K20" s="203"/>
    </row>
    <row r="21" spans="1:11">
      <c r="A21" s="203"/>
      <c r="B21" s="203"/>
      <c r="C21" s="203"/>
      <c r="D21" s="203"/>
      <c r="E21" s="203"/>
      <c r="F21" s="203"/>
      <c r="G21" s="203"/>
      <c r="H21" s="203"/>
      <c r="I21" s="203"/>
      <c r="J21" s="203"/>
      <c r="K21" s="203"/>
    </row>
    <row r="22" spans="1:11">
      <c r="A22" s="203"/>
      <c r="B22" s="203"/>
      <c r="C22" s="203"/>
      <c r="D22" s="203"/>
      <c r="E22" s="203"/>
      <c r="F22" s="203"/>
      <c r="G22" s="203"/>
      <c r="H22" s="203"/>
      <c r="I22" s="203"/>
      <c r="J22" s="203"/>
      <c r="K22" s="203"/>
    </row>
    <row r="23" spans="1:11">
      <c r="A23" s="203"/>
      <c r="B23" s="203"/>
      <c r="C23" s="203"/>
      <c r="D23" s="203"/>
      <c r="E23" s="203"/>
      <c r="F23" s="203"/>
      <c r="G23" s="203"/>
      <c r="H23" s="203"/>
      <c r="I23" s="203"/>
      <c r="J23" s="203"/>
      <c r="K23" s="203"/>
    </row>
    <row r="24" spans="1:11">
      <c r="A24" s="203"/>
      <c r="B24" s="203"/>
      <c r="C24" s="203"/>
      <c r="D24" s="203"/>
      <c r="E24" s="203"/>
      <c r="F24" s="203"/>
      <c r="G24" s="203"/>
      <c r="H24" s="203"/>
      <c r="I24" s="203"/>
      <c r="J24" s="203"/>
      <c r="K24" s="203"/>
    </row>
    <row r="25" spans="1:11">
      <c r="A25" s="203"/>
      <c r="B25" s="203"/>
      <c r="C25" s="203"/>
      <c r="D25" s="203"/>
      <c r="E25" s="203"/>
      <c r="F25" s="203"/>
      <c r="G25" s="203"/>
      <c r="H25" s="203"/>
      <c r="I25" s="203"/>
      <c r="J25" s="203"/>
      <c r="K25" s="203"/>
    </row>
    <row r="26" spans="1:11">
      <c r="A26" s="203"/>
      <c r="B26" s="81" t="s">
        <v>372</v>
      </c>
      <c r="C26" s="81"/>
      <c r="D26" s="203"/>
      <c r="E26" s="203"/>
      <c r="F26" s="203"/>
      <c r="G26" s="203"/>
      <c r="H26" s="203"/>
      <c r="I26" s="203"/>
      <c r="J26" s="203"/>
      <c r="K26" s="203"/>
    </row>
    <row r="27" spans="1:11">
      <c r="A27" s="203"/>
      <c r="B27" s="82" t="s">
        <v>435</v>
      </c>
      <c r="C27" s="83"/>
      <c r="D27" s="203"/>
      <c r="E27" s="203"/>
      <c r="F27" s="203"/>
      <c r="G27" s="203"/>
      <c r="H27" s="203"/>
      <c r="I27" s="203"/>
      <c r="J27" s="203"/>
      <c r="K27" s="203"/>
    </row>
    <row r="28" spans="1:11">
      <c r="A28" s="203"/>
      <c r="B28" s="84" t="s">
        <v>374</v>
      </c>
      <c r="C28" s="85"/>
      <c r="D28" s="203"/>
      <c r="E28" s="203"/>
      <c r="F28" s="203"/>
      <c r="G28" s="203"/>
      <c r="H28" s="203"/>
      <c r="I28" s="203"/>
      <c r="J28" s="203"/>
      <c r="K28" s="203"/>
    </row>
    <row r="29" spans="1:11">
      <c r="A29" s="203"/>
      <c r="B29" s="86" t="s">
        <v>375</v>
      </c>
      <c r="C29" s="87"/>
      <c r="D29" s="203"/>
      <c r="E29" s="203"/>
      <c r="F29" s="203"/>
      <c r="G29" s="203"/>
      <c r="H29" s="203"/>
      <c r="I29" s="203"/>
      <c r="J29" s="203"/>
      <c r="K29" s="203"/>
    </row>
    <row r="30" spans="1:11">
      <c r="A30" s="203"/>
      <c r="B30" s="88" t="s">
        <v>436</v>
      </c>
      <c r="C30" s="89"/>
      <c r="D30" s="203"/>
      <c r="E30" s="203"/>
      <c r="F30" s="203"/>
      <c r="G30" s="203"/>
      <c r="H30" s="203"/>
      <c r="I30" s="203"/>
      <c r="J30" s="203"/>
      <c r="K30" s="203"/>
    </row>
    <row r="31" spans="1:11">
      <c r="A31" s="203"/>
      <c r="B31" s="90" t="s">
        <v>377</v>
      </c>
      <c r="C31" s="91"/>
      <c r="D31" s="203"/>
      <c r="E31" s="203"/>
      <c r="F31" s="203"/>
      <c r="G31" s="203"/>
      <c r="H31" s="203"/>
      <c r="I31" s="203"/>
      <c r="J31" s="203"/>
      <c r="K31" s="203"/>
    </row>
    <row r="32" spans="1:11">
      <c r="A32" s="203"/>
      <c r="B32" s="92" t="s">
        <v>378</v>
      </c>
      <c r="C32" s="93"/>
      <c r="D32" s="203"/>
      <c r="E32" s="203"/>
      <c r="F32" s="203"/>
      <c r="G32" s="203"/>
      <c r="H32" s="203"/>
      <c r="I32" s="203"/>
      <c r="J32" s="203"/>
      <c r="K32" s="203"/>
    </row>
    <row r="33" spans="1:11">
      <c r="A33" s="203"/>
      <c r="B33" s="94" t="s">
        <v>437</v>
      </c>
      <c r="C33" s="95"/>
      <c r="D33" s="203"/>
      <c r="E33" s="203"/>
      <c r="F33" s="203"/>
      <c r="G33" s="203"/>
      <c r="H33" s="203"/>
      <c r="I33" s="203"/>
      <c r="J33" s="203"/>
      <c r="K33" s="203"/>
    </row>
    <row r="34" spans="1:11">
      <c r="A34" s="203"/>
      <c r="B34" s="203"/>
      <c r="C34" s="203"/>
      <c r="D34" s="203"/>
      <c r="E34" s="203"/>
      <c r="F34" s="203"/>
      <c r="G34" s="203"/>
      <c r="H34" s="203"/>
      <c r="I34" s="203"/>
      <c r="J34" s="203"/>
      <c r="K34" s="203"/>
    </row>
    <row r="35" spans="1:11">
      <c r="A35" s="203"/>
      <c r="B35" s="203"/>
      <c r="C35" s="203"/>
      <c r="D35" s="203"/>
      <c r="E35" s="203"/>
      <c r="F35" s="203"/>
      <c r="G35" s="203"/>
      <c r="H35" s="203"/>
      <c r="I35" s="203"/>
      <c r="J35" s="203"/>
      <c r="K35" s="203"/>
    </row>
    <row r="36" spans="1:11">
      <c r="A36" s="203"/>
      <c r="B36" s="203"/>
      <c r="C36" s="203"/>
      <c r="D36" s="203"/>
      <c r="E36" s="203"/>
      <c r="F36" s="203"/>
      <c r="G36" s="203"/>
      <c r="H36" s="203"/>
      <c r="I36" s="203"/>
      <c r="J36" s="203"/>
      <c r="K36" s="203"/>
    </row>
    <row r="37" spans="1:11">
      <c r="A37" s="203"/>
      <c r="B37" s="203"/>
      <c r="C37" s="203"/>
      <c r="D37" s="203"/>
      <c r="E37" s="203"/>
      <c r="F37" s="203"/>
      <c r="G37" s="203"/>
      <c r="H37" s="203"/>
      <c r="I37" s="203"/>
      <c r="J37" s="203"/>
      <c r="K37" s="203"/>
    </row>
    <row r="38" spans="1:11" s="203" customFormat="1"/>
    <row r="39" spans="1:11" s="203" customFormat="1"/>
    <row r="40" spans="1:11" s="203" customFormat="1"/>
    <row r="41" spans="1:11" s="203" customFormat="1"/>
    <row r="42" spans="1:11" s="203" customFormat="1"/>
    <row r="43" spans="1:11" s="203" customFormat="1"/>
    <row r="44" spans="1:11" s="203" customFormat="1"/>
    <row r="45" spans="1:11" s="203" customFormat="1"/>
    <row r="46" spans="1:11" s="203" customFormat="1"/>
    <row r="47" spans="1:11" s="203" customFormat="1"/>
    <row r="48" spans="1:11" s="203" customFormat="1"/>
    <row r="49" s="203" customFormat="1"/>
    <row r="50" s="203" customFormat="1"/>
    <row r="51" s="203" customFormat="1"/>
    <row r="52" s="203" customFormat="1"/>
    <row r="53" s="203" customFormat="1"/>
    <row r="54" s="203" customFormat="1"/>
    <row r="55" s="203" customFormat="1"/>
    <row r="56" s="203" customFormat="1"/>
    <row r="57" s="203" customFormat="1"/>
    <row r="58" s="203" customFormat="1"/>
    <row r="59" s="203" customFormat="1"/>
    <row r="60" s="203" customFormat="1"/>
    <row r="61" s="203" customFormat="1"/>
    <row r="62" s="203" customFormat="1"/>
    <row r="63" s="203" customFormat="1"/>
    <row r="64" s="203" customFormat="1"/>
    <row r="65" s="203" customFormat="1"/>
    <row r="66" s="203" customFormat="1"/>
    <row r="67" s="203" customFormat="1"/>
    <row r="68" s="203" customFormat="1"/>
    <row r="69" s="203" customFormat="1"/>
    <row r="70" s="203" customFormat="1"/>
    <row r="71" s="203" customFormat="1"/>
    <row r="72" s="203" customFormat="1"/>
    <row r="73" s="203" customFormat="1"/>
    <row r="74" s="203" customFormat="1"/>
    <row r="75" s="203" customFormat="1"/>
    <row r="76" s="203" customFormat="1"/>
    <row r="77" s="203" customFormat="1"/>
    <row r="78" s="203" customFormat="1"/>
    <row r="79" s="203" customFormat="1"/>
    <row r="80" s="203" customFormat="1"/>
    <row r="81" s="203" customFormat="1"/>
  </sheetData>
  <mergeCells count="5">
    <mergeCell ref="B9:C9"/>
    <mergeCell ref="B10:C10"/>
    <mergeCell ref="B11:C11"/>
    <mergeCell ref="B12:C12"/>
    <mergeCell ref="B13:C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sheetPr>
  <dimension ref="A1:AJ52"/>
  <sheetViews>
    <sheetView zoomScale="69" zoomScaleNormal="69" workbookViewId="0">
      <selection activeCell="D75" sqref="D75"/>
    </sheetView>
  </sheetViews>
  <sheetFormatPr defaultColWidth="9" defaultRowHeight="13.8" outlineLevelRow="1"/>
  <cols>
    <col min="2" max="2" width="24.44140625" customWidth="1"/>
    <col min="3" max="3" width="22.5546875" customWidth="1"/>
    <col min="4" max="4" width="12.44140625" style="57" customWidth="1"/>
    <col min="5" max="5" width="20.44140625" customWidth="1"/>
    <col min="6" max="6" width="11.33203125" customWidth="1"/>
    <col min="7" max="7" width="17.33203125" customWidth="1"/>
    <col min="8" max="8" width="9" customWidth="1"/>
    <col min="9" max="9" width="17.33203125" customWidth="1"/>
    <col min="34" max="34" width="9.5546875" bestFit="1" customWidth="1"/>
  </cols>
  <sheetData>
    <row r="1" spans="1:36" ht="12.75" customHeight="1">
      <c r="B1" s="24" t="s">
        <v>96</v>
      </c>
      <c r="C1" s="24"/>
      <c r="D1" s="210"/>
      <c r="E1" s="24"/>
      <c r="F1" s="24"/>
      <c r="G1" s="2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row>
    <row r="2" spans="1:36" ht="12.75" customHeight="1">
      <c r="A2" s="34"/>
      <c r="B2" s="34"/>
      <c r="C2" s="34"/>
      <c r="D2" s="211"/>
      <c r="E2" s="34"/>
      <c r="F2" s="34"/>
      <c r="G2" s="34"/>
    </row>
    <row r="4" spans="1:36">
      <c r="F4" s="29" t="s">
        <v>35</v>
      </c>
      <c r="J4" s="29" t="s">
        <v>89</v>
      </c>
    </row>
    <row r="5" spans="1:36" ht="21" customHeight="1">
      <c r="B5" s="188" t="s">
        <v>23</v>
      </c>
      <c r="C5">
        <v>1</v>
      </c>
      <c r="E5" s="7" t="s">
        <v>36</v>
      </c>
      <c r="F5" s="181" t="b">
        <v>1</v>
      </c>
      <c r="I5" s="183" t="s">
        <v>90</v>
      </c>
      <c r="J5" s="182">
        <v>2020</v>
      </c>
      <c r="K5" t="str">
        <f>Commodity!H25 &amp;" Min"</f>
        <v>2020 Min</v>
      </c>
    </row>
    <row r="6" spans="1:36" ht="21" customHeight="1">
      <c r="B6" s="188" t="s">
        <v>24</v>
      </c>
      <c r="C6">
        <v>1</v>
      </c>
      <c r="E6" s="7" t="s">
        <v>37</v>
      </c>
      <c r="F6" s="181" t="b">
        <v>1</v>
      </c>
      <c r="I6" s="183" t="s">
        <v>91</v>
      </c>
      <c r="J6" s="182">
        <v>2052</v>
      </c>
      <c r="K6" t="str">
        <f>Commodity!AN25&amp;" Max"</f>
        <v>2052 Max</v>
      </c>
    </row>
    <row r="7" spans="1:36" ht="21" customHeight="1">
      <c r="B7" s="188" t="s">
        <v>50</v>
      </c>
      <c r="C7">
        <v>3</v>
      </c>
      <c r="E7" s="7" t="s">
        <v>39</v>
      </c>
      <c r="F7" s="181" t="b">
        <v>1</v>
      </c>
      <c r="I7" s="183" t="s">
        <v>92</v>
      </c>
      <c r="J7" s="27">
        <f>J6-J5+1</f>
        <v>33</v>
      </c>
    </row>
    <row r="8" spans="1:36" ht="21" customHeight="1">
      <c r="B8" s="188" t="s">
        <v>56</v>
      </c>
      <c r="C8">
        <v>1</v>
      </c>
      <c r="E8" s="7" t="s">
        <v>421</v>
      </c>
      <c r="F8" s="181" t="b">
        <v>1</v>
      </c>
      <c r="I8" s="183" t="s">
        <v>93</v>
      </c>
      <c r="J8" s="184">
        <v>7.5233333333333333E-2</v>
      </c>
      <c r="K8" s="57"/>
    </row>
    <row r="9" spans="1:36" ht="23.25" customHeight="1">
      <c r="E9" s="7" t="s">
        <v>420</v>
      </c>
      <c r="F9" s="181" t="b">
        <v>0</v>
      </c>
      <c r="I9" s="183" t="s">
        <v>38</v>
      </c>
      <c r="J9" s="187">
        <f>-PMT(J8,J7,1,0,1)</f>
        <v>7.699827160062242E-2</v>
      </c>
    </row>
    <row r="10" spans="1:36" ht="15" customHeight="1">
      <c r="I10" s="183" t="s">
        <v>68</v>
      </c>
      <c r="J10" s="185">
        <v>2020</v>
      </c>
      <c r="K10" s="57"/>
    </row>
    <row r="11" spans="1:36" ht="15" customHeight="1">
      <c r="I11" s="183" t="s">
        <v>94</v>
      </c>
      <c r="J11" s="186">
        <v>0.02</v>
      </c>
      <c r="K11" s="57"/>
    </row>
    <row r="12" spans="1:36" ht="15" customHeight="1">
      <c r="F12" s="7"/>
      <c r="G12" s="30"/>
    </row>
    <row r="13" spans="1:36" outlineLevel="1"/>
    <row r="14" spans="1:36" ht="12.75" customHeight="1" outlineLevel="1">
      <c r="B14" s="49" t="s">
        <v>95</v>
      </c>
      <c r="C14" s="49"/>
      <c r="D14" s="212"/>
      <c r="E14" s="49"/>
      <c r="F14" s="49"/>
      <c r="G14" s="49"/>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row>
    <row r="15" spans="1:36" ht="12.75" customHeight="1" outlineLevel="1">
      <c r="A15" s="34"/>
      <c r="B15" s="34"/>
      <c r="C15" s="34"/>
      <c r="D15" s="211"/>
      <c r="E15" s="34"/>
      <c r="F15" s="34"/>
      <c r="G15" s="34"/>
    </row>
    <row r="16" spans="1:36" s="177" customFormat="1" ht="28.8" outlineLevel="1">
      <c r="B16" s="178" t="s">
        <v>88</v>
      </c>
      <c r="D16" s="213"/>
      <c r="E16" s="179" t="s">
        <v>22</v>
      </c>
      <c r="F16" s="179"/>
      <c r="G16" s="180" t="s">
        <v>41</v>
      </c>
    </row>
    <row r="17" spans="2:36" outlineLevel="1">
      <c r="B17" s="16" t="s">
        <v>75</v>
      </c>
      <c r="E17" s="173" t="s">
        <v>5</v>
      </c>
      <c r="F17" s="174"/>
      <c r="G17" s="172">
        <f t="array" aca="1" ref="G17:G28" ca="1">OFFSET('T&amp;D'!$C$45,0,('User Dashboard'!C5-1)*3+C6-1,12,1)</f>
        <v>1.6063096255812614</v>
      </c>
    </row>
    <row r="18" spans="2:36" outlineLevel="1">
      <c r="B18" s="168" t="s">
        <v>74</v>
      </c>
      <c r="C18" s="169">
        <f ca="1">OFFSET(Emissions!$E$6,Emissions!E4,0,1,1)</f>
        <v>9.1999999999999998E-3</v>
      </c>
      <c r="E18" s="173" t="s">
        <v>6</v>
      </c>
      <c r="F18" s="174"/>
      <c r="G18" s="171">
        <f ca="1"/>
        <v>1.6063096255812614</v>
      </c>
    </row>
    <row r="19" spans="2:36" outlineLevel="1">
      <c r="B19" s="7" t="s">
        <v>533</v>
      </c>
      <c r="C19" s="169">
        <f ca="1">OFFSET(Emissions!$F$6,Emissions!E4,0,1,1)</f>
        <v>5.3070370403969849E-3</v>
      </c>
      <c r="E19" s="173" t="s">
        <v>7</v>
      </c>
      <c r="F19" s="174"/>
      <c r="G19" s="171">
        <f ca="1"/>
        <v>1.6063096255812614</v>
      </c>
    </row>
    <row r="20" spans="2:36" outlineLevel="1">
      <c r="B20" s="16" t="s">
        <v>48</v>
      </c>
      <c r="C20" s="170">
        <f ca="1">OFFSET('Other Inputs'!D12,0,$C$5-1,1,1)</f>
        <v>0</v>
      </c>
      <c r="E20" s="173" t="s">
        <v>8</v>
      </c>
      <c r="F20" s="174"/>
      <c r="G20" s="171">
        <f ca="1"/>
        <v>0</v>
      </c>
    </row>
    <row r="21" spans="2:36" outlineLevel="1">
      <c r="B21" s="16" t="s">
        <v>49</v>
      </c>
      <c r="C21" s="170">
        <f ca="1">OFFSET('Other Inputs'!D13,0,$C$5-1,1,1)</f>
        <v>2.41E-2</v>
      </c>
      <c r="E21" s="173" t="s">
        <v>9</v>
      </c>
      <c r="F21" s="174"/>
      <c r="G21" s="171">
        <f ca="1"/>
        <v>0</v>
      </c>
    </row>
    <row r="22" spans="2:36" outlineLevel="1">
      <c r="E22" s="173" t="s">
        <v>10</v>
      </c>
      <c r="F22" s="174"/>
      <c r="G22" s="171">
        <f ca="1"/>
        <v>0</v>
      </c>
    </row>
    <row r="23" spans="2:36" outlineLevel="1">
      <c r="E23" s="173" t="s">
        <v>11</v>
      </c>
      <c r="F23" s="174"/>
      <c r="G23" s="171">
        <f ca="1"/>
        <v>0</v>
      </c>
    </row>
    <row r="24" spans="2:36" outlineLevel="1">
      <c r="E24" s="173" t="s">
        <v>12</v>
      </c>
      <c r="F24" s="174"/>
      <c r="G24" s="171">
        <f ca="1"/>
        <v>0</v>
      </c>
    </row>
    <row r="25" spans="2:36" outlineLevel="1">
      <c r="E25" s="173" t="s">
        <v>13</v>
      </c>
      <c r="F25" s="174"/>
      <c r="G25" s="171">
        <f ca="1"/>
        <v>0</v>
      </c>
    </row>
    <row r="26" spans="2:36" outlineLevel="1">
      <c r="E26" s="173" t="s">
        <v>14</v>
      </c>
      <c r="F26" s="174"/>
      <c r="G26" s="171">
        <f ca="1"/>
        <v>0</v>
      </c>
    </row>
    <row r="27" spans="2:36" outlineLevel="1">
      <c r="E27" s="173" t="s">
        <v>15</v>
      </c>
      <c r="F27" s="174"/>
      <c r="G27" s="171">
        <f ca="1"/>
        <v>1.6063096255812614</v>
      </c>
    </row>
    <row r="28" spans="2:36" outlineLevel="1">
      <c r="E28" s="173" t="s">
        <v>16</v>
      </c>
      <c r="F28" s="174"/>
      <c r="G28" s="171">
        <f ca="1"/>
        <v>1.6063096255812614</v>
      </c>
    </row>
    <row r="29" spans="2:36" outlineLevel="1">
      <c r="D29"/>
    </row>
    <row r="30" spans="2:36" ht="14.4" outlineLevel="1">
      <c r="C30" s="31"/>
      <c r="D30" s="176">
        <f>J5</f>
        <v>2020</v>
      </c>
      <c r="E30" s="176">
        <f>D30+1</f>
        <v>2021</v>
      </c>
      <c r="F30" s="176">
        <f t="shared" ref="F30:AB30" si="0">E30+1</f>
        <v>2022</v>
      </c>
      <c r="G30" s="176">
        <f t="shared" si="0"/>
        <v>2023</v>
      </c>
      <c r="H30" s="176">
        <f t="shared" si="0"/>
        <v>2024</v>
      </c>
      <c r="I30" s="176">
        <f t="shared" si="0"/>
        <v>2025</v>
      </c>
      <c r="J30" s="176">
        <f t="shared" si="0"/>
        <v>2026</v>
      </c>
      <c r="K30" s="176">
        <f t="shared" si="0"/>
        <v>2027</v>
      </c>
      <c r="L30" s="176">
        <f t="shared" si="0"/>
        <v>2028</v>
      </c>
      <c r="M30" s="176">
        <f t="shared" si="0"/>
        <v>2029</v>
      </c>
      <c r="N30" s="176">
        <f t="shared" si="0"/>
        <v>2030</v>
      </c>
      <c r="O30" s="176">
        <f t="shared" si="0"/>
        <v>2031</v>
      </c>
      <c r="P30" s="176">
        <f t="shared" si="0"/>
        <v>2032</v>
      </c>
      <c r="Q30" s="176">
        <f t="shared" si="0"/>
        <v>2033</v>
      </c>
      <c r="R30" s="176">
        <f t="shared" si="0"/>
        <v>2034</v>
      </c>
      <c r="S30" s="176">
        <f t="shared" si="0"/>
        <v>2035</v>
      </c>
      <c r="T30" s="176">
        <f t="shared" si="0"/>
        <v>2036</v>
      </c>
      <c r="U30" s="176">
        <f t="shared" si="0"/>
        <v>2037</v>
      </c>
      <c r="V30" s="176">
        <f t="shared" si="0"/>
        <v>2038</v>
      </c>
      <c r="W30" s="176">
        <f t="shared" si="0"/>
        <v>2039</v>
      </c>
      <c r="X30" s="176">
        <f t="shared" si="0"/>
        <v>2040</v>
      </c>
      <c r="Y30" s="176">
        <f t="shared" si="0"/>
        <v>2041</v>
      </c>
      <c r="Z30" s="176">
        <f t="shared" si="0"/>
        <v>2042</v>
      </c>
      <c r="AA30" s="176">
        <f t="shared" si="0"/>
        <v>2043</v>
      </c>
      <c r="AB30" s="176">
        <f t="shared" si="0"/>
        <v>2044</v>
      </c>
      <c r="AC30" s="176">
        <f>AB30+1</f>
        <v>2045</v>
      </c>
      <c r="AD30" s="176">
        <f t="shared" ref="AD30:AG30" si="1">AC30+1</f>
        <v>2046</v>
      </c>
      <c r="AE30" s="176">
        <f t="shared" si="1"/>
        <v>2047</v>
      </c>
      <c r="AF30" s="176">
        <f t="shared" si="1"/>
        <v>2048</v>
      </c>
      <c r="AG30" s="176">
        <f t="shared" si="1"/>
        <v>2049</v>
      </c>
      <c r="AH30" s="176">
        <v>2050</v>
      </c>
      <c r="AI30" s="176">
        <v>2051</v>
      </c>
      <c r="AJ30" s="176">
        <v>2052</v>
      </c>
    </row>
    <row r="31" spans="2:36" outlineLevel="1">
      <c r="C31" s="47" t="s">
        <v>40</v>
      </c>
      <c r="D31" s="209" cm="1">
        <f t="array" aca="1" ref="D31:AJ31" ca="1">OFFSET('T&amp;D'!$D$5,('User Dashboard'!$C$5-1)*3+('User Dashboard'!$C$6-1),0,1,33)</f>
        <v>0.21189338361112339</v>
      </c>
      <c r="E31" s="175">
        <f ca="1"/>
        <v>0.21654734197308792</v>
      </c>
      <c r="F31" s="175">
        <f ca="1"/>
        <v>0.22130351838483658</v>
      </c>
      <c r="G31" s="175">
        <f ca="1"/>
        <v>0.22616415793085218</v>
      </c>
      <c r="H31" s="175">
        <f ca="1"/>
        <v>0.23113155500593338</v>
      </c>
      <c r="I31" s="175">
        <f ca="1"/>
        <v>0.23583593900538169</v>
      </c>
      <c r="J31" s="175">
        <f ca="1"/>
        <v>0.24064525488011945</v>
      </c>
      <c r="K31" s="175">
        <f ca="1"/>
        <v>0.24545457075485899</v>
      </c>
      <c r="L31" s="175">
        <f ca="1"/>
        <v>0.25026388662959675</v>
      </c>
      <c r="M31" s="175">
        <f ca="1"/>
        <v>0.25507320250433629</v>
      </c>
      <c r="N31" s="175">
        <f ca="1"/>
        <v>0.25988251837907406</v>
      </c>
      <c r="O31" s="175">
        <f ca="1"/>
        <v>0.26469183425381182</v>
      </c>
      <c r="P31" s="175">
        <f ca="1"/>
        <v>0.26950115012855136</v>
      </c>
      <c r="Q31" s="175">
        <f ca="1"/>
        <v>0.27431046600328912</v>
      </c>
      <c r="R31" s="175">
        <f ca="1"/>
        <v>0.27911978187802688</v>
      </c>
      <c r="S31" s="175">
        <f ca="1"/>
        <v>0.28392909775276642</v>
      </c>
      <c r="T31" s="175">
        <f ca="1"/>
        <v>0.28873841362750419</v>
      </c>
      <c r="U31" s="175">
        <f ca="1"/>
        <v>0.29354772950224373</v>
      </c>
      <c r="V31" s="175">
        <f ca="1"/>
        <v>0.29835704537698149</v>
      </c>
      <c r="W31" s="175">
        <f ca="1"/>
        <v>0.30316636125171925</v>
      </c>
      <c r="X31" s="175">
        <f ca="1"/>
        <v>0.30797567712645879</v>
      </c>
      <c r="Y31" s="175">
        <f ca="1"/>
        <v>0.31278499300119655</v>
      </c>
      <c r="Z31" s="175">
        <f ca="1"/>
        <v>0.31759430887593432</v>
      </c>
      <c r="AA31" s="175">
        <f ca="1"/>
        <v>0.32240362475067386</v>
      </c>
      <c r="AB31" s="175">
        <f ca="1"/>
        <v>0.32721294062541162</v>
      </c>
      <c r="AC31" s="175">
        <f ca="1"/>
        <v>0.33202225650015116</v>
      </c>
      <c r="AD31" s="175">
        <f ca="1"/>
        <v>0.33683157237488892</v>
      </c>
      <c r="AE31" s="175">
        <f ca="1"/>
        <v>0.34164088824962668</v>
      </c>
      <c r="AF31" s="175">
        <f ca="1"/>
        <v>0.34645020412436622</v>
      </c>
      <c r="AG31" s="175">
        <f ca="1"/>
        <v>0.35125951999910399</v>
      </c>
      <c r="AH31" s="175">
        <f ca="1"/>
        <v>0.35606883587384175</v>
      </c>
      <c r="AI31" s="175">
        <f ca="1"/>
        <v>0.36087815174858129</v>
      </c>
      <c r="AJ31" s="175">
        <f ca="1"/>
        <v>0.36568746762331905</v>
      </c>
    </row>
    <row r="32" spans="2:36" outlineLevel="1">
      <c r="C32" s="7" t="s">
        <v>72</v>
      </c>
      <c r="D32" s="209">
        <f>Emissions!C18</f>
        <v>12.47354328539001</v>
      </c>
      <c r="E32" s="209">
        <f>Emissions!D18</f>
        <v>13.720897613929012</v>
      </c>
      <c r="F32" s="209">
        <f>Emissions!E18</f>
        <v>15.092987375321913</v>
      </c>
      <c r="G32" s="209">
        <f>Emissions!F18</f>
        <v>16.602286112854106</v>
      </c>
      <c r="H32" s="209">
        <f>Emissions!G18</f>
        <v>17.789313850231338</v>
      </c>
      <c r="I32" s="209">
        <f>Emissions!H18</f>
        <v>19.103798520815417</v>
      </c>
      <c r="J32" s="209">
        <f>Emissions!I18</f>
        <v>20.418283191399041</v>
      </c>
      <c r="K32" s="209">
        <f>Emissions!J18</f>
        <v>21.73276786198312</v>
      </c>
      <c r="L32" s="209">
        <f>Emissions!K18</f>
        <v>23.0472525325672</v>
      </c>
      <c r="M32" s="209">
        <f>Emissions!L18</f>
        <v>24.361737203151279</v>
      </c>
      <c r="N32" s="209">
        <f>Emissions!M18</f>
        <v>25.676221873735358</v>
      </c>
      <c r="O32" s="209">
        <f>Emissions!N18</f>
        <v>26.990706544319437</v>
      </c>
      <c r="P32" s="209">
        <f>Emissions!O18</f>
        <v>28.305191214903061</v>
      </c>
      <c r="Q32" s="209">
        <f>Emissions!P18</f>
        <v>29.61967588548714</v>
      </c>
      <c r="R32" s="209">
        <f>Emissions!Q18</f>
        <v>30.93416055607122</v>
      </c>
      <c r="S32" s="209">
        <f>Emissions!R18</f>
        <v>32.248645226655299</v>
      </c>
      <c r="T32" s="209">
        <f>Emissions!S18</f>
        <v>33.563129897239378</v>
      </c>
      <c r="U32" s="209">
        <f>Emissions!T18</f>
        <v>34.877614567823457</v>
      </c>
      <c r="V32" s="209">
        <f>Emissions!U18</f>
        <v>36.192099238407536</v>
      </c>
      <c r="W32" s="209">
        <f>Emissions!V18</f>
        <v>37.506583908991161</v>
      </c>
      <c r="X32" s="209">
        <f>Emissions!W18</f>
        <v>38.82106857957524</v>
      </c>
      <c r="Y32" s="209">
        <f>Emissions!X18</f>
        <v>40.135553250159319</v>
      </c>
      <c r="Z32" s="209">
        <f>Emissions!Y18</f>
        <v>41.450037920743398</v>
      </c>
      <c r="AA32" s="209">
        <f>Emissions!Z18</f>
        <v>42.764522591327477</v>
      </c>
      <c r="AB32" s="209">
        <f>Emissions!AA18</f>
        <v>44.079007261911556</v>
      </c>
      <c r="AC32" s="209">
        <f>Emissions!AB18</f>
        <v>45.393491932495181</v>
      </c>
      <c r="AD32" s="209">
        <f>Emissions!AC18</f>
        <v>46.70797660307926</v>
      </c>
      <c r="AE32" s="209">
        <f>Emissions!AD18</f>
        <v>48.022461273663339</v>
      </c>
      <c r="AF32" s="209">
        <f>Emissions!AE18</f>
        <v>49.336945944247418</v>
      </c>
      <c r="AG32" s="209">
        <f>Emissions!AF18</f>
        <v>50.651430614831497</v>
      </c>
      <c r="AH32" s="209">
        <f>Emissions!AG18</f>
        <v>51.965915285415576</v>
      </c>
      <c r="AI32" s="209">
        <f>Emissions!AH18</f>
        <v>53.280399955999656</v>
      </c>
      <c r="AJ32" s="209">
        <f>Emissions!AI18</f>
        <v>54.59488462658328</v>
      </c>
    </row>
    <row r="33" spans="1:36" outlineLevel="1">
      <c r="C33" s="7" t="s">
        <v>535</v>
      </c>
      <c r="D33" s="209">
        <f>Emissions!C20</f>
        <v>114</v>
      </c>
      <c r="E33" s="209">
        <f>Emissions!D20</f>
        <v>122.57659999999998</v>
      </c>
      <c r="F33" s="209">
        <f>Emissions!E20</f>
        <v>131.79844620666665</v>
      </c>
      <c r="G33" s="209">
        <f>Emissions!F20</f>
        <v>141.7140826429482</v>
      </c>
      <c r="H33" s="209">
        <f>Emissions!G20</f>
        <v>152.37570546045268</v>
      </c>
      <c r="I33" s="209">
        <f>Emissions!H20</f>
        <v>163.83943770126069</v>
      </c>
      <c r="J33" s="209">
        <f>Emissions!I20</f>
        <v>176.16562473098554</v>
      </c>
      <c r="K33" s="209">
        <f>Emissions!J20</f>
        <v>189.4191518982467</v>
      </c>
      <c r="L33" s="209">
        <f>Emissions!K20</f>
        <v>203.66978609272476</v>
      </c>
      <c r="M33" s="209">
        <f>Emissions!L20</f>
        <v>218.99254299976741</v>
      </c>
      <c r="N33" s="209">
        <f>Emissions!M20</f>
        <v>235.46808198478325</v>
      </c>
      <c r="O33" s="209">
        <f>Emissions!N20</f>
        <v>253.1831306861051</v>
      </c>
      <c r="P33" s="209">
        <f>Emissions!O20</f>
        <v>272.23094155138972</v>
      </c>
      <c r="Q33" s="209">
        <f>Emissions!P20</f>
        <v>292.71178272077259</v>
      </c>
      <c r="R33" s="209">
        <f>Emissions!Q20</f>
        <v>314.73346584079871</v>
      </c>
      <c r="S33" s="209">
        <f>Emissions!R20</f>
        <v>338.41191358755475</v>
      </c>
      <c r="T33" s="209">
        <f>Emissions!S20</f>
        <v>363.87176988645848</v>
      </c>
      <c r="U33" s="209">
        <f>Emissions!T20</f>
        <v>391.24705604091633</v>
      </c>
      <c r="V33" s="209">
        <f>Emissions!U20</f>
        <v>420.68187622372795</v>
      </c>
      <c r="W33" s="209">
        <f>Emissions!V20</f>
        <v>452.3311760449597</v>
      </c>
      <c r="X33" s="209">
        <f>Emissions!W20</f>
        <v>486.36155818940881</v>
      </c>
      <c r="Y33" s="209">
        <f>Emissions!X20</f>
        <v>522.95215941719187</v>
      </c>
      <c r="Z33" s="209">
        <f>Emissions!Y20</f>
        <v>562.29559354401204</v>
      </c>
      <c r="AA33" s="209">
        <f>Emissions!Z20</f>
        <v>604.5989653649732</v>
      </c>
      <c r="AB33" s="209">
        <f>Emissions!AA20</f>
        <v>650.0849608592647</v>
      </c>
      <c r="AC33" s="209">
        <f>Emissions!AB20</f>
        <v>698.99301941457657</v>
      </c>
      <c r="AD33" s="209">
        <f>Emissions!AC20</f>
        <v>751.58059424186649</v>
      </c>
      <c r="AE33" s="209">
        <f>Emissions!AD20</f>
        <v>808.12450761532966</v>
      </c>
      <c r="AF33" s="209">
        <f>Emissions!AE20</f>
        <v>868.92240807158953</v>
      </c>
      <c r="AG33" s="209">
        <f>Emissions!AF20</f>
        <v>934.29433723884199</v>
      </c>
      <c r="AH33" s="209">
        <f>Emissions!AG20</f>
        <v>1004.5844145437777</v>
      </c>
      <c r="AI33" s="209">
        <f>Emissions!AH20</f>
        <v>1080.162648664621</v>
      </c>
      <c r="AJ33" s="209">
        <f>Emissions!AI20</f>
        <v>1161.4268852658229</v>
      </c>
    </row>
    <row r="34" spans="1:36" outlineLevel="1">
      <c r="C34" s="7" t="s">
        <v>536</v>
      </c>
      <c r="D34" s="209">
        <f>Emissions!C20*'Methane Leakage'!$C$4</f>
        <v>6.3498000000000001</v>
      </c>
      <c r="E34" s="209">
        <f>Emissions!D20*'Methane Leakage'!$C$4</f>
        <v>6.827516619999999</v>
      </c>
      <c r="F34" s="209">
        <f>Emissions!E20*'Methane Leakage'!$C$4</f>
        <v>7.3411734537113329</v>
      </c>
      <c r="G34" s="209">
        <f>Emissions!F20*'Methane Leakage'!$C$4</f>
        <v>7.8934744032122151</v>
      </c>
      <c r="H34" s="209">
        <f>Emissions!G20*'Methane Leakage'!$C$4</f>
        <v>8.4873267941472132</v>
      </c>
      <c r="I34" s="209">
        <f>Emissions!H20*'Methane Leakage'!$C$4</f>
        <v>9.1258566799602203</v>
      </c>
      <c r="J34" s="209">
        <f>Emissions!I20*'Methane Leakage'!$C$4</f>
        <v>9.8124252975158939</v>
      </c>
      <c r="K34" s="209">
        <f>Emissions!J20*'Methane Leakage'!$C$4</f>
        <v>10.550646760732342</v>
      </c>
      <c r="L34" s="209">
        <f>Emissions!K20*'Methane Leakage'!$C$4</f>
        <v>11.34440708536477</v>
      </c>
      <c r="M34" s="209">
        <f>Emissions!L20*'Methane Leakage'!$C$4</f>
        <v>12.197884645087045</v>
      </c>
      <c r="N34" s="209">
        <f>Emissions!M20*'Methane Leakage'!$C$4</f>
        <v>13.115572166552427</v>
      </c>
      <c r="O34" s="209">
        <f>Emissions!N20*'Methane Leakage'!$C$4</f>
        <v>14.102300379216054</v>
      </c>
      <c r="P34" s="209">
        <f>Emissions!O20*'Methane Leakage'!$C$4</f>
        <v>15.163263444412408</v>
      </c>
      <c r="Q34" s="209">
        <f>Emissions!P20*'Methane Leakage'!$C$4</f>
        <v>16.304046297547032</v>
      </c>
      <c r="R34" s="209">
        <f>Emissions!Q20*'Methane Leakage'!$C$4</f>
        <v>17.530654047332487</v>
      </c>
      <c r="S34" s="209">
        <f>Emissions!R20*'Methane Leakage'!$C$4</f>
        <v>18.849543586826801</v>
      </c>
      <c r="T34" s="209">
        <f>Emissions!S20*'Methane Leakage'!$C$4</f>
        <v>20.267657582675739</v>
      </c>
      <c r="U34" s="209">
        <f>Emissions!T20*'Methane Leakage'!$C$4</f>
        <v>21.792461021479038</v>
      </c>
      <c r="V34" s="209">
        <f>Emissions!U20*'Methane Leakage'!$C$4</f>
        <v>23.431980505661645</v>
      </c>
      <c r="W34" s="209">
        <f>Emissions!V20*'Methane Leakage'!$C$4</f>
        <v>25.194846505704255</v>
      </c>
      <c r="X34" s="209">
        <f>Emissions!W20*'Methane Leakage'!$C$4</f>
        <v>27.090338791150071</v>
      </c>
      <c r="Y34" s="209">
        <f>Emissions!X20*'Methane Leakage'!$C$4</f>
        <v>29.128435279537587</v>
      </c>
      <c r="Z34" s="209">
        <f>Emissions!Y20*'Methane Leakage'!$C$4</f>
        <v>31.31986456040147</v>
      </c>
      <c r="AA34" s="209">
        <f>Emissions!Z20*'Methane Leakage'!$C$4</f>
        <v>33.676162370829005</v>
      </c>
      <c r="AB34" s="209">
        <f>Emissions!AA20*'Methane Leakage'!$C$4</f>
        <v>36.209732319861047</v>
      </c>
      <c r="AC34" s="209">
        <f>Emissions!AB20*'Methane Leakage'!$C$4</f>
        <v>38.933911181391913</v>
      </c>
      <c r="AD34" s="209">
        <f>Emissions!AC20*'Methane Leakage'!$C$4</f>
        <v>41.863039099271965</v>
      </c>
      <c r="AE34" s="209">
        <f>Emissions!AD20*'Methane Leakage'!$C$4</f>
        <v>45.012535074173861</v>
      </c>
      <c r="AF34" s="209">
        <f>Emissions!AE20*'Methane Leakage'!$C$4</f>
        <v>48.398978129587533</v>
      </c>
      <c r="AG34" s="209">
        <f>Emissions!AF20*'Methane Leakage'!$C$4</f>
        <v>52.040194584203498</v>
      </c>
      <c r="AH34" s="209">
        <f>Emissions!AG20*'Methane Leakage'!$C$4</f>
        <v>55.955351890088416</v>
      </c>
      <c r="AI34" s="209">
        <f>Emissions!AH20*'Methane Leakage'!$C$4</f>
        <v>60.165059530619388</v>
      </c>
      <c r="AJ34" s="209">
        <f>Emissions!AI20*'Methane Leakage'!$C$4</f>
        <v>64.691477509306338</v>
      </c>
    </row>
    <row r="35" spans="1:36" outlineLevel="1">
      <c r="C35" s="7" t="s">
        <v>537</v>
      </c>
      <c r="D35" s="209">
        <f>Emissions!C20*'Methane Leakage'!$C$5</f>
        <v>4.3091999999999997</v>
      </c>
      <c r="E35" s="209">
        <f>Emissions!D20*'Methane Leakage'!$C$5</f>
        <v>4.6333954799999999</v>
      </c>
      <c r="F35" s="209">
        <f>Emissions!E20*'Methane Leakage'!$C$5</f>
        <v>4.9819812666119994</v>
      </c>
      <c r="G35" s="209">
        <f>Emissions!F20*'Methane Leakage'!$C$5</f>
        <v>5.3567923239034423</v>
      </c>
      <c r="H35" s="209">
        <f>Emissions!G20*'Methane Leakage'!$C$5</f>
        <v>5.759801666405111</v>
      </c>
      <c r="I35" s="209">
        <f>Emissions!H20*'Methane Leakage'!$C$5</f>
        <v>6.1931307451076538</v>
      </c>
      <c r="J35" s="209">
        <f>Emissions!I20*'Methane Leakage'!$C$5</f>
        <v>6.6590606148312537</v>
      </c>
      <c r="K35" s="209">
        <f>Emissions!J20*'Methane Leakage'!$C$5</f>
        <v>7.1600439417537247</v>
      </c>
      <c r="L35" s="209">
        <f>Emissions!K20*'Methane Leakage'!$C$5</f>
        <v>7.6987179143049964</v>
      </c>
      <c r="M35" s="209">
        <f>Emissions!L20*'Methane Leakage'!$C$5</f>
        <v>8.2779181253912082</v>
      </c>
      <c r="N35" s="209">
        <f>Emissions!M20*'Methane Leakage'!$C$5</f>
        <v>8.9006934990248077</v>
      </c>
      <c r="O35" s="209">
        <f>Emissions!N20*'Methane Leakage'!$C$5</f>
        <v>9.5703223399347728</v>
      </c>
      <c r="P35" s="209">
        <f>Emissions!O20*'Methane Leakage'!$C$5</f>
        <v>10.290329590642532</v>
      </c>
      <c r="Q35" s="209">
        <f>Emissions!P20*'Methane Leakage'!$C$5</f>
        <v>11.064505386845203</v>
      </c>
      <c r="R35" s="209">
        <f>Emissions!Q20*'Methane Leakage'!$C$5</f>
        <v>11.896925008782192</v>
      </c>
      <c r="S35" s="209">
        <f>Emissions!R20*'Methane Leakage'!$C$5</f>
        <v>12.791970333609569</v>
      </c>
      <c r="T35" s="209">
        <f>Emissions!S20*'Methane Leakage'!$C$5</f>
        <v>13.754352901708131</v>
      </c>
      <c r="U35" s="209">
        <f>Emissions!T20*'Methane Leakage'!$C$5</f>
        <v>14.789138718346637</v>
      </c>
      <c r="V35" s="209">
        <f>Emissions!U20*'Methane Leakage'!$C$5</f>
        <v>15.901774921256917</v>
      </c>
      <c r="W35" s="209">
        <f>Emissions!V20*'Methane Leakage'!$C$5</f>
        <v>17.098118454499478</v>
      </c>
      <c r="X35" s="209">
        <f>Emissions!W20*'Methane Leakage'!$C$5</f>
        <v>18.384466899559651</v>
      </c>
      <c r="Y35" s="209">
        <f>Emissions!X20*'Methane Leakage'!$C$5</f>
        <v>19.767591625969853</v>
      </c>
      <c r="Z35" s="209">
        <f>Emissions!Y20*'Methane Leakage'!$C$5</f>
        <v>21.254773435963656</v>
      </c>
      <c r="AA35" s="209">
        <f>Emissions!Z20*'Methane Leakage'!$C$5</f>
        <v>22.853840890795986</v>
      </c>
      <c r="AB35" s="209">
        <f>Emissions!AA20*'Methane Leakage'!$C$5</f>
        <v>24.573211520480207</v>
      </c>
      <c r="AC35" s="209">
        <f>Emissions!AB20*'Methane Leakage'!$C$5</f>
        <v>26.421936133870993</v>
      </c>
      <c r="AD35" s="209">
        <f>Emissions!AC20*'Methane Leakage'!$C$5</f>
        <v>28.409746462342554</v>
      </c>
      <c r="AE35" s="209">
        <f>Emissions!AD20*'Methane Leakage'!$C$5</f>
        <v>30.547106387859461</v>
      </c>
      <c r="AF35" s="209">
        <f>Emissions!AE20*'Methane Leakage'!$C$5</f>
        <v>32.845267025106082</v>
      </c>
      <c r="AG35" s="209">
        <f>Emissions!AF20*'Methane Leakage'!$C$5</f>
        <v>35.316325947628229</v>
      </c>
      <c r="AH35" s="209">
        <f>Emissions!AG20*'Methane Leakage'!$C$5</f>
        <v>37.973290869754798</v>
      </c>
      <c r="AI35" s="209">
        <f>Emissions!AH20*'Methane Leakage'!$C$5</f>
        <v>40.830148119522676</v>
      </c>
      <c r="AJ35" s="209">
        <f>Emissions!AI20*'Methane Leakage'!$C$5</f>
        <v>43.901936263048107</v>
      </c>
    </row>
    <row r="36" spans="1:36">
      <c r="C36" s="7"/>
      <c r="D36" s="221"/>
      <c r="E36" s="32"/>
      <c r="F36" s="32"/>
      <c r="G36" s="32"/>
      <c r="H36" s="32"/>
      <c r="I36" s="32"/>
      <c r="J36" s="32"/>
      <c r="K36" s="32"/>
      <c r="L36" s="32"/>
      <c r="M36" s="32"/>
      <c r="N36" s="32"/>
      <c r="O36" s="32"/>
      <c r="P36" s="32"/>
      <c r="Q36" s="32"/>
      <c r="R36" s="32"/>
      <c r="S36" s="32"/>
      <c r="T36" s="32"/>
      <c r="U36" s="32"/>
      <c r="V36" s="32"/>
      <c r="W36" s="32"/>
      <c r="X36" s="32"/>
      <c r="Y36" s="32"/>
      <c r="Z36" s="32"/>
      <c r="AA36" s="32"/>
      <c r="AB36" s="32"/>
      <c r="AC36" s="32"/>
    </row>
    <row r="37" spans="1:36" ht="14.4">
      <c r="A37" s="48" t="s">
        <v>97</v>
      </c>
      <c r="B37" s="48"/>
      <c r="C37" s="51"/>
      <c r="D37" s="222"/>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row>
    <row r="38" spans="1:36">
      <c r="D38" s="223"/>
    </row>
    <row r="39" spans="1:36" ht="14.4">
      <c r="B39" s="52" t="str">
        <f>"Gas Avoided Cost: " &amp; IF(F5,E5,"") &amp;"  " &amp;IF(F6,E6,"") &amp; " " &amp; IF(F7,E7,"") &amp; " " &amp; IF(F8,E8,"") &amp; " " &amp; IF(F9,E9,"") &amp; " (Nominal $/Therm)"</f>
        <v>Gas Avoided Cost: Market  T&amp;D Environment Upstream methane leakage  (Nominal $/Therm)</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row>
    <row r="40" spans="1:36" ht="14.4">
      <c r="B40" s="7" t="s">
        <v>42</v>
      </c>
      <c r="D40" s="176">
        <f>D30</f>
        <v>2020</v>
      </c>
      <c r="E40" s="176">
        <f t="shared" ref="E40:AB40" si="2">E30</f>
        <v>2021</v>
      </c>
      <c r="F40" s="176">
        <f t="shared" si="2"/>
        <v>2022</v>
      </c>
      <c r="G40" s="176">
        <f t="shared" si="2"/>
        <v>2023</v>
      </c>
      <c r="H40" s="176">
        <f t="shared" si="2"/>
        <v>2024</v>
      </c>
      <c r="I40" s="176">
        <f t="shared" si="2"/>
        <v>2025</v>
      </c>
      <c r="J40" s="176">
        <f t="shared" si="2"/>
        <v>2026</v>
      </c>
      <c r="K40" s="176">
        <f t="shared" si="2"/>
        <v>2027</v>
      </c>
      <c r="L40" s="176">
        <f t="shared" si="2"/>
        <v>2028</v>
      </c>
      <c r="M40" s="176">
        <f t="shared" si="2"/>
        <v>2029</v>
      </c>
      <c r="N40" s="176">
        <f t="shared" si="2"/>
        <v>2030</v>
      </c>
      <c r="O40" s="176">
        <f t="shared" si="2"/>
        <v>2031</v>
      </c>
      <c r="P40" s="176">
        <f t="shared" si="2"/>
        <v>2032</v>
      </c>
      <c r="Q40" s="176">
        <f t="shared" si="2"/>
        <v>2033</v>
      </c>
      <c r="R40" s="176">
        <f t="shared" si="2"/>
        <v>2034</v>
      </c>
      <c r="S40" s="176">
        <f t="shared" si="2"/>
        <v>2035</v>
      </c>
      <c r="T40" s="176">
        <f t="shared" si="2"/>
        <v>2036</v>
      </c>
      <c r="U40" s="176">
        <f t="shared" si="2"/>
        <v>2037</v>
      </c>
      <c r="V40" s="176">
        <f t="shared" si="2"/>
        <v>2038</v>
      </c>
      <c r="W40" s="176">
        <f t="shared" si="2"/>
        <v>2039</v>
      </c>
      <c r="X40" s="176">
        <f t="shared" si="2"/>
        <v>2040</v>
      </c>
      <c r="Y40" s="176">
        <f t="shared" si="2"/>
        <v>2041</v>
      </c>
      <c r="Z40" s="176">
        <f t="shared" si="2"/>
        <v>2042</v>
      </c>
      <c r="AA40" s="176">
        <f t="shared" si="2"/>
        <v>2043</v>
      </c>
      <c r="AB40" s="176">
        <f t="shared" si="2"/>
        <v>2044</v>
      </c>
      <c r="AC40" s="176">
        <f>AC30</f>
        <v>2045</v>
      </c>
      <c r="AD40" s="176">
        <f t="shared" ref="AD40:AG40" si="3">AD30</f>
        <v>2046</v>
      </c>
      <c r="AE40" s="176">
        <f t="shared" si="3"/>
        <v>2047</v>
      </c>
      <c r="AF40" s="176">
        <f t="shared" si="3"/>
        <v>2048</v>
      </c>
      <c r="AG40" s="176">
        <f t="shared" si="3"/>
        <v>2049</v>
      </c>
      <c r="AH40" s="176">
        <v>2050</v>
      </c>
      <c r="AI40" s="176">
        <v>2051</v>
      </c>
      <c r="AJ40" s="176">
        <v>2052</v>
      </c>
    </row>
    <row r="41" spans="1:36">
      <c r="A41" t="s">
        <v>5</v>
      </c>
      <c r="B41" s="33">
        <f ca="1">NPV($J$8,OFFSET($D41,0,$J$5-$D$40,1,$J$7))*(1+$J$8)*(1+$J$11)^($J$10-$J$5)*$J$9</f>
        <v>2.7943032150879512</v>
      </c>
      <c r="C41" s="33"/>
      <c r="D41" s="195">
        <f ca="1">Commodity!H61*(1+$C$20+$C$21)*$F$5+$G17*D$31*$F$6*(1+$C$20+$C$21)+($C$18*D$32+$C$19*D$33)*$F$7+$C$19*D$34*$F$8+$C$19*D$35*$F$9</f>
        <v>1.500117536079119</v>
      </c>
      <c r="E41" s="195">
        <f ca="1">Commodity!I61*(1+$C$20+$C$21)*$F$5+$G17*E$31*$F$6*(1+$C$20+$C$21)+($C$18*E$32+$C$19*E$33)*$F$7+$C$19*E$34*$F$8+$C$19*E$35*$F$9</f>
        <v>1.5781979998987226</v>
      </c>
      <c r="F41" s="195">
        <f ca="1">Commodity!J61*(1+$C$20+$C$21)*$F$5+$G17*F$31*$F$6*(1+$C$20+$C$21)+($C$18*F$32+$C$19*F$33)*$F$7+$C$19*F$34*$F$8+$C$19*F$35*$F$9</f>
        <v>1.6585443448342747</v>
      </c>
      <c r="G41" s="195">
        <f ca="1">Commodity!K61*(1+$C$20+$C$21)*$F$5+$G17*G$31*$F$6*(1+$C$20+$C$21)+($C$18*G$32+$C$19*G$33)*$F$7+$C$19*G$34*$F$8+$C$19*G$35*$F$9</f>
        <v>1.7471977680012407</v>
      </c>
      <c r="H41" s="195">
        <f ca="1">Commodity!L61*(1+$C$20+$C$21)*$F$5+$G17*H$31*$F$6*(1+$C$20+$C$21)+($C$18*H$32+$C$19*H$33)*$F$7+$C$19*H$34*$F$8+$C$19*H$35*$F$9</f>
        <v>1.8351672627185314</v>
      </c>
      <c r="I41" s="195">
        <f ca="1">Commodity!M61*(1+$C$20+$C$21)*$F$5+$G17*I$31*$F$6*(1+$C$20+$C$21)+($C$18*I$32+$C$19*I$33)*$F$7+$C$19*I$34*$F$8+$C$19*I$35*$F$9</f>
        <v>1.9276172566537773</v>
      </c>
      <c r="J41" s="195">
        <f ca="1">Commodity!N61*(1+$C$20+$C$21)*$F$5+$G17*J$31*$F$6*(1+$C$20+$C$21)+($C$18*J$32+$C$19*J$33)*$F$7+$C$19*J$34*$F$8+$C$19*J$35*$F$9</f>
        <v>2.0271122020185128</v>
      </c>
      <c r="K41" s="195">
        <f ca="1">Commodity!O61*(1+$C$20+$C$21)*$F$5+$G17*K$31*$F$6*(1+$C$20+$C$21)+($C$18*K$32+$C$19*K$33)*$F$7+$C$19*K$34*$F$8+$C$19*K$35*$F$9</f>
        <v>2.1324127345613446</v>
      </c>
      <c r="L41" s="195">
        <f ca="1">Commodity!P61*(1+$C$20+$C$21)*$F$5+$G17*L$31*$F$6*(1+$C$20+$C$21)+($C$18*L$32+$C$19*L$33)*$F$7+$C$19*L$34*$F$8+$C$19*L$35*$F$9</f>
        <v>2.2440810972786411</v>
      </c>
      <c r="M41" s="195">
        <f ca="1">Commodity!Q61*(1+$C$20+$C$21)*$F$5+$G17*M$31*$F$6*(1+$C$20+$C$21)+($C$18*M$32+$C$19*M$33)*$F$7+$C$19*M$34*$F$8+$C$19*M$35*$F$9</f>
        <v>2.3629213437463239</v>
      </c>
      <c r="N41" s="195">
        <f ca="1">Commodity!R61*(1+$C$20+$C$21)*$F$5+$G17*N$31*$F$6*(1+$C$20+$C$21)+($C$18*N$32+$C$19*N$33)*$F$7+$C$19*N$34*$F$8+$C$19*N$35*$F$9</f>
        <v>2.4887448586489449</v>
      </c>
      <c r="O41" s="195">
        <f ca="1">Commodity!S61*(1+$C$20+$C$21)*$F$5+$G17*O$31*$F$6*(1+$C$20+$C$21)+($C$18*O$32+$C$19*O$33)*$F$7+$C$19*O$34*$F$8+$C$19*O$35*$F$9</f>
        <v>2.6187857768755438</v>
      </c>
      <c r="P41" s="195">
        <f ca="1">Commodity!T61*(1+$C$20+$C$21)*$F$5+$G17*P$31*$F$6*(1+$C$20+$C$21)+($C$18*P$32+$C$19*P$33)*$F$7+$C$19*P$34*$F$8+$C$19*P$35*$F$9</f>
        <v>2.7567717742074569</v>
      </c>
      <c r="Q41" s="195">
        <f ca="1">Commodity!U61*(1+$C$20+$C$21)*$F$5+$G17*Q$31*$F$6*(1+$C$20+$C$21)+($C$18*Q$32+$C$19*Q$33)*$F$7+$C$19*Q$34*$F$8+$C$19*Q$35*$F$9</f>
        <v>2.903238419527757</v>
      </c>
      <c r="R41" s="195">
        <f ca="1">Commodity!V61*(1+$C$20+$C$21)*$F$5+$G17*R$31*$F$6*(1+$C$20+$C$21)+($C$18*R$32+$C$19*R$33)*$F$7+$C$19*R$34*$F$8+$C$19*R$35*$F$9</f>
        <v>3.0588679283527664</v>
      </c>
      <c r="S41" s="195">
        <f ca="1">Commodity!W61*(1+$C$20+$C$21)*$F$5+$G17*S$31*$F$6*(1+$C$20+$C$21)+($C$18*S$32+$C$19*S$33)*$F$7+$C$19*S$34*$F$8+$C$19*S$35*$F$9</f>
        <v>3.2241754324347194</v>
      </c>
      <c r="T41" s="195">
        <f ca="1">Commodity!X61*(1+$C$20+$C$21)*$F$5+$G17*T$31*$F$6*(1+$C$20+$C$21)+($C$18*T$32+$C$19*T$33)*$F$7+$C$19*T$34*$F$8+$C$19*T$35*$F$9</f>
        <v>3.3991996981258326</v>
      </c>
      <c r="U41" s="195">
        <f ca="1">Commodity!Y61*(1+$C$20+$C$21)*$F$5+$G17*U$31*$F$6*(1+$C$20+$C$21)+($C$18*U$32+$C$19*U$33)*$F$7+$C$19*U$34*$F$8+$C$19*U$35*$F$9</f>
        <v>3.5850213826908233</v>
      </c>
      <c r="V41" s="195">
        <f ca="1">Commodity!Z61*(1+$C$20+$C$21)*$F$5+$G17*V$31*$F$6*(1+$C$20+$C$21)+($C$18*V$32+$C$19*V$33)*$F$7+$C$19*V$34*$F$8+$C$19*V$35*$F$9</f>
        <v>3.7823818929321984</v>
      </c>
      <c r="W41" s="195">
        <f ca="1">Commodity!AA61*(1+$C$20+$C$21)*$F$5+$G17*W$31*$F$6*(1+$C$20+$C$21)+($C$18*W$32+$C$19*W$33)*$F$7+$C$19*W$34*$F$8+$C$19*W$35*$F$9</f>
        <v>3.9921493331683426</v>
      </c>
      <c r="X41" s="195">
        <f ca="1">Commodity!AB61*(1+$C$20+$C$21)*$F$5+$G17*X$31*$F$6*(1+$C$20+$C$21)+($C$18*X$32+$C$19*X$33)*$F$7+$C$19*X$34*$F$8+$C$19*X$35*$F$9</f>
        <v>4.2152571180992089</v>
      </c>
      <c r="Y41" s="195">
        <f ca="1">Commodity!AC61*(1+$C$20+$C$21)*$F$5+$G17*Y$31*$F$6*(1+$C$20+$C$21)+($C$18*Y$32+$C$19*Y$33)*$F$7+$C$19*Y$34*$F$8+$C$19*Y$35*$F$9</f>
        <v>4.4527088863239834</v>
      </c>
      <c r="Z41" s="195">
        <f ca="1">Commodity!AD61*(1+$C$20+$C$21)*$F$5+$G17*Z$31*$F$6*(1+$C$20+$C$21)+($C$18*Z$32+$C$19*Z$33)*$F$7+$C$19*Z$34*$F$8+$C$19*Z$35*$F$9</f>
        <v>4.7055837835191516</v>
      </c>
      <c r="AA41" s="195">
        <f ca="1">Commodity!AE61*(1+$C$20+$C$21)*$F$5+$G17*AA$31*$F$6*(1+$C$20+$C$21)+($C$18*AA$32+$C$19*AA$33)*$F$7+$C$19*AA$34*$F$8+$C$19*AA$35*$F$9</f>
        <v>4.9750421430875873</v>
      </c>
      <c r="AB41" s="195">
        <f ca="1">Commodity!AF61*(1+$C$20+$C$21)*$F$5+$G17*AB$31*$F$6*(1+$C$20+$C$21)+($C$18*AB$32+$C$19*AB$33)*$F$7+$C$19*AB$34*$F$8+$C$19*AB$35*$F$9</f>
        <v>5.2623315941818314</v>
      </c>
      <c r="AC41" s="195">
        <f ca="1">Commodity!AG61*(1+$C$20+$C$21)*$F$5+$G17*AC$31*$F$6*(1+$C$20+$C$21)+($C$18*AC$32+$C$19*AC$33)*$F$7+$C$19*AC$34*$F$8+$C$19*AC$35*$F$9</f>
        <v>5.5687936292543458</v>
      </c>
      <c r="AD41" s="195">
        <f ca="1">Commodity!AH61*(1+$C$20+$C$21)*$F$5+$G17*AD$31*$F$6*(1+$C$20+$C$21)+($C$18*AD$32+$C$19*AD$33)*$F$7+$C$19*AD$34*$F$8+$C$19*AD$35*$F$9</f>
        <v>5.8958706657064308</v>
      </c>
      <c r="AE41" s="195">
        <f ca="1">Commodity!AI61*(1+$C$20+$C$21)*$F$5+$G17*AE$31*$F$6*(1+$C$20+$C$21)+($C$18*AE$32+$C$19*AE$33)*$F$7+$C$19*AE$34*$F$8+$C$19*AE$35*$F$9</f>
        <v>6.2451136388085438</v>
      </c>
      <c r="AF41" s="195">
        <f ca="1">Commodity!AJ61*(1+$C$20+$C$21)*$F$5+$G17*AF$31*$F$6*(1+$C$20+$C$21)+($C$18*AF$32+$C$19*AF$33)*$F$7+$C$19*AF$34*$F$8+$C$19*AF$35*$F$9</f>
        <v>6.6181901658613214</v>
      </c>
      <c r="AG41" s="195">
        <f ca="1">Commodity!AK61*(1+$C$20+$C$21)*$F$5+$G17*AG$31*$F$6*(1+$C$20+$C$21)+($C$18*AG$32+$C$19*AG$33)*$F$7+$C$19*AG$34*$F$8+$C$19*AG$35*$F$9</f>
        <v>7.0168933245736476</v>
      </c>
      <c r="AH41" s="195">
        <f ca="1">Commodity!AL61*(1+$C$20+$C$21)*$F$5+$G17*AH$31*$F$6*(1+$C$20+$C$21)+($C$18*AH$32+$C$19*AH$33)*$F$7+$C$19*AH$34*$F$8+$C$19*AH$35*$F$9</f>
        <v>7.4431510918673816</v>
      </c>
      <c r="AI41" s="195">
        <f ca="1">Commodity!AM61*(1+$C$20+$C$21)*$F$5+$G17*AI$31*$F$6*(1+$C$20+$C$21)+($C$18*AI$32+$C$19*AI$33)*$F$7+$C$19*AI$34*$F$8+$C$19*AI$35*$F$9</f>
        <v>7.8990364927947931</v>
      </c>
      <c r="AJ41" s="195">
        <f ca="1">Commodity!AN61*(1+$C$20+$C$21)*$F$5+$G17*AJ$31*$F$6*(1+$C$20+$C$21)+($C$18*AJ$32+$C$19*AJ$33)*$F$7+$C$19*AJ$34*$F$8+$C$19*AJ$35*$F$9</f>
        <v>8.3867785129929224</v>
      </c>
    </row>
    <row r="42" spans="1:36">
      <c r="A42" t="s">
        <v>6</v>
      </c>
      <c r="B42" s="33">
        <f ca="1">NPV($J$8,OFFSET($D42,0,$J$5-$D$40,1,$J$7))*(1+$J$8)*(1+$J$11)^($J$10-$J$5)*$J$9</f>
        <v>2.8049783790363199</v>
      </c>
      <c r="C42" s="33"/>
      <c r="D42" s="195">
        <f ca="1">Commodity!H62*(1+$C$20+$C$21)*$F$5+$G18*D$31*$F$6*(1+$C$20+$C$21)+($C$18*D$32+$C$19*D$33)*$F$7+$C$19*D$34*$F$8+$C$19*D$35*$F$9</f>
        <v>1.5098155080419875</v>
      </c>
      <c r="E42" s="195">
        <f ca="1">Commodity!I62*(1+$C$20+$C$21)*$F$5+$G18*E$31*$F$6*(1+$C$20+$C$21)+($C$18*E$32+$C$19*E$33)*$F$7+$C$19*E$34*$F$8+$C$19*E$35*$F$9</f>
        <v>1.586891638234309</v>
      </c>
      <c r="F42" s="195">
        <f ca="1">Commodity!J62*(1+$C$20+$C$21)*$F$5+$G18*F$31*$F$6*(1+$C$20+$C$21)+($C$18*F$32+$C$19*F$33)*$F$7+$C$19*F$34*$F$8+$C$19*F$35*$F$9</f>
        <v>1.667078466146805</v>
      </c>
      <c r="G42" s="195">
        <f ca="1">Commodity!K62*(1+$C$20+$C$21)*$F$5+$G18*G$31*$F$6*(1+$C$20+$C$21)+($C$18*G$32+$C$19*G$33)*$F$7+$C$19*G$34*$F$8+$C$19*G$35*$F$9</f>
        <v>1.75617156652573</v>
      </c>
      <c r="H42" s="195">
        <f ca="1">Commodity!L62*(1+$C$20+$C$21)*$F$5+$G18*H$31*$F$6*(1+$C$20+$C$21)+($C$18*H$32+$C$19*H$33)*$F$7+$C$19*H$34*$F$8+$C$19*H$35*$F$9</f>
        <v>1.844166953724071</v>
      </c>
      <c r="I42" s="195">
        <f ca="1">Commodity!M62*(1+$C$20+$C$21)*$F$5+$G18*I$31*$F$6*(1+$C$20+$C$21)+($C$18*I$32+$C$19*I$33)*$F$7+$C$19*I$34*$F$8+$C$19*I$35*$F$9</f>
        <v>1.9367175400931806</v>
      </c>
      <c r="J42" s="195">
        <f ca="1">Commodity!N62*(1+$C$20+$C$21)*$F$5+$G18*J$31*$F$6*(1+$C$20+$C$21)+($C$18*J$32+$C$19*J$33)*$F$7+$C$19*J$34*$F$8+$C$19*J$35*$F$9</f>
        <v>2.0365581715984553</v>
      </c>
      <c r="K42" s="195">
        <f ca="1">Commodity!O62*(1+$C$20+$C$21)*$F$5+$G18*K$31*$F$6*(1+$C$20+$C$21)+($C$18*K$32+$C$19*K$33)*$F$7+$C$19*K$34*$F$8+$C$19*K$35*$F$9</f>
        <v>2.1421145695299035</v>
      </c>
      <c r="L42" s="195">
        <f ca="1">Commodity!P62*(1+$C$20+$C$21)*$F$5+$G18*L$31*$F$6*(1+$C$20+$C$21)+($C$18*L$32+$C$19*L$33)*$F$7+$C$19*L$34*$F$8+$C$19*L$35*$F$9</f>
        <v>2.2540627490174545</v>
      </c>
      <c r="M42" s="195">
        <f ca="1">Commodity!Q62*(1+$C$20+$C$21)*$F$5+$G18*M$31*$F$6*(1+$C$20+$C$21)+($C$18*M$32+$C$19*M$33)*$F$7+$C$19*M$34*$F$8+$C$19*M$35*$F$9</f>
        <v>2.3732234644455223</v>
      </c>
      <c r="N42" s="195">
        <f ca="1">Commodity!R62*(1+$C$20+$C$21)*$F$5+$G18*N$31*$F$6*(1+$C$20+$C$21)+($C$18*N$32+$C$19*N$33)*$F$7+$C$19*N$34*$F$8+$C$19*N$35*$F$9</f>
        <v>2.4993457487617721</v>
      </c>
      <c r="O42" s="195">
        <f ca="1">Commodity!S62*(1+$C$20+$C$21)*$F$5+$G18*O$31*$F$6*(1+$C$20+$C$21)+($C$18*O$32+$C$19*O$33)*$F$7+$C$19*O$34*$F$8+$C$19*O$35*$F$9</f>
        <v>2.6294210039216779</v>
      </c>
      <c r="P42" s="195">
        <f ca="1">Commodity!T62*(1+$C$20+$C$21)*$F$5+$G18*P$31*$F$6*(1+$C$20+$C$21)+($C$18*P$32+$C$19*P$33)*$F$7+$C$19*P$34*$F$8+$C$19*P$35*$F$9</f>
        <v>2.7676528189846716</v>
      </c>
      <c r="Q42" s="195">
        <f ca="1">Commodity!U62*(1+$C$20+$C$21)*$F$5+$G18*Q$31*$F$6*(1+$C$20+$C$21)+($C$18*Q$32+$C$19*Q$33)*$F$7+$C$19*Q$34*$F$8+$C$19*Q$35*$F$9</f>
        <v>2.9143736839705277</v>
      </c>
      <c r="R42" s="195">
        <f ca="1">Commodity!V62*(1+$C$20+$C$21)*$F$5+$G18*R$31*$F$6*(1+$C$20+$C$21)+($C$18*R$32+$C$19*R$33)*$F$7+$C$19*R$34*$F$8+$C$19*R$35*$F$9</f>
        <v>3.0702785555475023</v>
      </c>
      <c r="S42" s="195">
        <f ca="1">Commodity!W62*(1+$C$20+$C$21)*$F$5+$G18*S$31*$F$6*(1+$C$20+$C$21)+($C$18*S$32+$C$19*S$33)*$F$7+$C$19*S$34*$F$8+$C$19*S$35*$F$9</f>
        <v>3.2358578611302908</v>
      </c>
      <c r="T42" s="195">
        <f ca="1">Commodity!X62*(1+$C$20+$C$21)*$F$5+$G18*T$31*$F$6*(1+$C$20+$C$21)+($C$18*T$32+$C$19*T$33)*$F$7+$C$19*T$34*$F$8+$C$19*T$35*$F$9</f>
        <v>3.4111563024896614</v>
      </c>
      <c r="U42" s="195">
        <f ca="1">Commodity!Y62*(1+$C$20+$C$21)*$F$5+$G18*U$31*$F$6*(1+$C$20+$C$21)+($C$18*U$32+$C$19*U$33)*$F$7+$C$19*U$34*$F$8+$C$19*U$35*$F$9</f>
        <v>3.5972515691810516</v>
      </c>
      <c r="V42" s="195">
        <f ca="1">Commodity!Z62*(1+$C$20+$C$21)*$F$5+$G18*V$31*$F$6*(1+$C$20+$C$21)+($C$18*V$32+$C$19*V$33)*$F$7+$C$19*V$34*$F$8+$C$19*V$35*$F$9</f>
        <v>3.7948856615488293</v>
      </c>
      <c r="W42" s="195">
        <f ca="1">Commodity!AA62*(1+$C$20+$C$21)*$F$5+$G18*W$31*$F$6*(1+$C$20+$C$21)+($C$18*W$32+$C$19*W$33)*$F$7+$C$19*W$34*$F$8+$C$19*W$35*$F$9</f>
        <v>4.0049266839113731</v>
      </c>
      <c r="X42" s="195">
        <f ca="1">Commodity!AB62*(1+$C$20+$C$21)*$F$5+$G18*X$31*$F$6*(1+$C$20+$C$21)+($C$18*X$32+$C$19*X$33)*$F$7+$C$19*X$34*$F$8+$C$19*X$35*$F$9</f>
        <v>4.2283080509686384</v>
      </c>
      <c r="Y42" s="195">
        <f ca="1">Commodity!AC62*(1+$C$20+$C$21)*$F$5+$G18*Y$31*$F$6*(1+$C$20+$C$21)+($C$18*Y$32+$C$19*Y$33)*$F$7+$C$19*Y$34*$F$8+$C$19*Y$35*$F$9</f>
        <v>4.466033401319816</v>
      </c>
      <c r="Z42" s="195">
        <f ca="1">Commodity!AD62*(1+$C$20+$C$21)*$F$5+$G18*Z$31*$F$6*(1+$C$20+$C$21)+($C$18*Z$32+$C$19*Z$33)*$F$7+$C$19*Z$34*$F$8+$C$19*Z$35*$F$9</f>
        <v>4.7191818806413828</v>
      </c>
      <c r="AA42" s="195">
        <f ca="1">Commodity!AE62*(1+$C$20+$C$21)*$F$5+$G18*AA$31*$F$6*(1+$C$20+$C$21)+($C$18*AA$32+$C$19*AA$33)*$F$7+$C$19*AA$34*$F$8+$C$19*AA$35*$F$9</f>
        <v>4.9889138223362179</v>
      </c>
      <c r="AB42" s="195">
        <f ca="1">Commodity!AF62*(1+$C$20+$C$21)*$F$5+$G18*AB$31*$F$6*(1+$C$20+$C$21)+($C$18*AB$32+$C$19*AB$33)*$F$7+$C$19*AB$34*$F$8+$C$19*AB$35*$F$9</f>
        <v>5.2764768555568642</v>
      </c>
      <c r="AC42" s="195">
        <f ca="1">Commodity!AG62*(1+$C$20+$C$21)*$F$5+$G18*AC$31*$F$6*(1+$C$20+$C$21)+($C$18*AC$32+$C$19*AC$33)*$F$7+$C$19*AC$34*$F$8+$C$19*AC$35*$F$9</f>
        <v>5.5832124727557781</v>
      </c>
      <c r="AD42" s="195">
        <f ca="1">Commodity!AH62*(1+$C$20+$C$21)*$F$5+$G18*AD$31*$F$6*(1+$C$20+$C$21)+($C$18*AD$32+$C$19*AD$33)*$F$7+$C$19*AD$34*$F$8+$C$19*AD$35*$F$9</f>
        <v>5.9105630913342635</v>
      </c>
      <c r="AE42" s="195">
        <f ca="1">Commodity!AI62*(1+$C$20+$C$21)*$F$5+$G18*AE$31*$F$6*(1+$C$20+$C$21)+($C$18*AE$32+$C$19*AE$33)*$F$7+$C$19*AE$34*$F$8+$C$19*AE$35*$F$9</f>
        <v>6.2600796465627786</v>
      </c>
      <c r="AF42" s="195">
        <f ca="1">Commodity!AJ62*(1+$C$20+$C$21)*$F$5+$G18*AF$31*$F$6*(1+$C$20+$C$21)+($C$18*AF$32+$C$19*AF$33)*$F$7+$C$19*AF$34*$F$8+$C$19*AF$35*$F$9</f>
        <v>6.6334297557419557</v>
      </c>
      <c r="AG42" s="195">
        <f ca="1">Commodity!AK62*(1+$C$20+$C$21)*$F$5+$G18*AG$31*$F$6*(1+$C$20+$C$21)+($C$18*AG$32+$C$19*AG$33)*$F$7+$C$19*AG$34*$F$8+$C$19*AG$35*$F$9</f>
        <v>7.0324064965806814</v>
      </c>
      <c r="AH42" s="195">
        <f ca="1">Commodity!AL62*(1+$C$20+$C$21)*$F$5+$G18*AH$31*$F$6*(1+$C$20+$C$21)+($C$18*AH$32+$C$19*AH$33)*$F$7+$C$19*AH$34*$F$8+$C$19*AH$35*$F$9</f>
        <v>7.4589378460008167</v>
      </c>
      <c r="AI42" s="195">
        <f ca="1">Commodity!AM62*(1+$C$20+$C$21)*$F$5+$G18*AI$31*$F$6*(1+$C$20+$C$21)+($C$18*AI$32+$C$19*AI$33)*$F$7+$C$19*AI$34*$F$8+$C$19*AI$35*$F$9</f>
        <v>7.9150968290546286</v>
      </c>
      <c r="AJ42" s="195">
        <f ca="1">Commodity!AN62*(1+$C$20+$C$21)*$F$5+$G18*AJ$31*$F$6*(1+$C$20+$C$21)+($C$18*AJ$32+$C$19*AJ$33)*$F$7+$C$19*AJ$34*$F$8+$C$19*AJ$35*$F$9</f>
        <v>8.4031124313791583</v>
      </c>
    </row>
    <row r="43" spans="1:36">
      <c r="A43" t="s">
        <v>7</v>
      </c>
      <c r="B43" s="33">
        <f t="shared" ref="B43:B52" ca="1" si="4">NPV($J$8,OFFSET($D43,0,$J$5-$D$40,1,$J$7))*(1+$J$8)*(1+$J$11)^($J$10-$J$5)*$J$9</f>
        <v>2.7497097704927462</v>
      </c>
      <c r="C43" s="33"/>
      <c r="D43" s="195">
        <f ca="1">Commodity!H63*(1+$C$20+$C$21)*$F$5+$G19*D$31*$F$6*(1+$C$20+$C$21)+($C$18*D$32+$C$19*D$33)*$F$7+$C$19*D$34*$F$8+$C$19*D$35*$F$9</f>
        <v>1.4675735390636366</v>
      </c>
      <c r="E43" s="195">
        <f ca="1">Commodity!I63*(1+$C$20+$C$21)*$F$5+$G19*E$31*$F$6*(1+$C$20+$C$21)+($C$18*E$32+$C$19*E$33)*$F$7+$C$19*E$34*$F$8+$C$19*E$35*$F$9</f>
        <v>1.5424953988967554</v>
      </c>
      <c r="F43" s="195">
        <f ca="1">Commodity!J63*(1+$C$20+$C$21)*$F$5+$G19*F$31*$F$6*(1+$C$20+$C$21)+($C$18*F$32+$C$19*F$33)*$F$7+$C$19*F$34*$F$8+$C$19*F$35*$F$9</f>
        <v>1.6215256949458421</v>
      </c>
      <c r="G43" s="195">
        <f ca="1">Commodity!K63*(1+$C$20+$C$21)*$F$5+$G19*G$31*$F$6*(1+$C$20+$C$21)+($C$18*G$32+$C$19*G$33)*$F$7+$C$19*G$34*$F$8+$C$19*G$35*$F$9</f>
        <v>1.7095591702569291</v>
      </c>
      <c r="H43" s="195">
        <f ca="1">Commodity!L63*(1+$C$20+$C$21)*$F$5+$G19*H$31*$F$6*(1+$C$20+$C$21)+($C$18*H$32+$C$19*H$33)*$F$7+$C$19*H$34*$F$8+$C$19*H$35*$F$9</f>
        <v>1.7964295407467599</v>
      </c>
      <c r="I43" s="195">
        <f ca="1">Commodity!M63*(1+$C$20+$C$21)*$F$5+$G19*I$31*$F$6*(1+$C$20+$C$21)+($C$18*I$32+$C$19*I$33)*$F$7+$C$19*I$34*$F$8+$C$19*I$35*$F$9</f>
        <v>1.8880081818780658</v>
      </c>
      <c r="J43" s="195">
        <f ca="1">Commodity!N63*(1+$C$20+$C$21)*$F$5+$G19*J$31*$F$6*(1+$C$20+$C$21)+($C$18*J$32+$C$19*J$33)*$F$7+$C$19*J$34*$F$8+$C$19*J$35*$F$9</f>
        <v>1.9868139236572429</v>
      </c>
      <c r="K43" s="195">
        <f ca="1">Commodity!O63*(1+$C$20+$C$21)*$F$5+$G19*K$31*$F$6*(1+$C$20+$C$21)+($C$18*K$32+$C$19*K$33)*$F$7+$C$19*K$34*$F$8+$C$19*K$35*$F$9</f>
        <v>2.091188430888308</v>
      </c>
      <c r="L43" s="195">
        <f ca="1">Commodity!P63*(1+$C$20+$C$21)*$F$5+$G19*L$31*$F$6*(1+$C$20+$C$21)+($C$18*L$32+$C$19*L$33)*$F$7+$C$19*L$34*$F$8+$C$19*L$35*$F$9</f>
        <v>2.2018756674302642</v>
      </c>
      <c r="M43" s="195">
        <f ca="1">Commodity!Q63*(1+$C$20+$C$21)*$F$5+$G19*M$31*$F$6*(1+$C$20+$C$21)+($C$18*M$32+$C$19*M$33)*$F$7+$C$19*M$34*$F$8+$C$19*M$35*$F$9</f>
        <v>2.3196614432789637</v>
      </c>
      <c r="N43" s="195">
        <f ca="1">Commodity!R63*(1+$C$20+$C$21)*$F$5+$G19*N$31*$F$6*(1+$C$20+$C$21)+($C$18*N$32+$C$19*N$33)*$F$7+$C$19*N$34*$F$8+$C$19*N$35*$F$9</f>
        <v>2.4443260188428124</v>
      </c>
      <c r="O43" s="195">
        <f ca="1">Commodity!S63*(1+$C$20+$C$21)*$F$5+$G19*O$31*$F$6*(1+$C$20+$C$21)+($C$18*O$32+$C$19*O$33)*$F$7+$C$19*O$34*$F$8+$C$19*O$35*$F$9</f>
        <v>2.5730773388984685</v>
      </c>
      <c r="P43" s="195">
        <f ca="1">Commodity!T63*(1+$C$20+$C$21)*$F$5+$G19*P$31*$F$6*(1+$C$20+$C$21)+($C$18*P$32+$C$19*P$33)*$F$7+$C$19*P$34*$F$8+$C$19*P$35*$F$9</f>
        <v>2.7100915366571137</v>
      </c>
      <c r="Q43" s="195">
        <f ca="1">Commodity!U63*(1+$C$20+$C$21)*$F$5+$G19*Q$31*$F$6*(1+$C$20+$C$21)+($C$18*Q$32+$C$19*Q$33)*$F$7+$C$19*Q$34*$F$8+$C$19*Q$35*$F$9</f>
        <v>2.8555447842959492</v>
      </c>
      <c r="R43" s="195">
        <f ca="1">Commodity!V63*(1+$C$20+$C$21)*$F$5+$G19*R$31*$F$6*(1+$C$20+$C$21)+($C$18*R$32+$C$19*R$33)*$F$7+$C$19*R$34*$F$8+$C$19*R$35*$F$9</f>
        <v>3.0101322584270966</v>
      </c>
      <c r="S43" s="195">
        <f ca="1">Commodity!W63*(1+$C$20+$C$21)*$F$5+$G19*S$31*$F$6*(1+$C$20+$C$21)+($C$18*S$32+$C$19*S$33)*$F$7+$C$19*S$34*$F$8+$C$19*S$35*$F$9</f>
        <v>3.1743417985216578</v>
      </c>
      <c r="T43" s="195">
        <f ca="1">Commodity!X63*(1+$C$20+$C$21)*$F$5+$G19*T$31*$F$6*(1+$C$20+$C$21)+($C$18*T$32+$C$19*T$33)*$F$7+$C$19*T$34*$F$8+$C$19*T$35*$F$9</f>
        <v>3.3483053864210666</v>
      </c>
      <c r="U43" s="195">
        <f ca="1">Commodity!Y63*(1+$C$20+$C$21)*$F$5+$G19*U$31*$F$6*(1+$C$20+$C$21)+($C$18*U$32+$C$19*U$33)*$F$7+$C$19*U$34*$F$8+$C$19*U$35*$F$9</f>
        <v>3.5330570716454313</v>
      </c>
      <c r="V43" s="195">
        <f ca="1">Commodity!Z63*(1+$C$20+$C$21)*$F$5+$G19*V$31*$F$6*(1+$C$20+$C$21)+($C$18*V$32+$C$19*V$33)*$F$7+$C$19*V$34*$F$8+$C$19*V$35*$F$9</f>
        <v>3.7293475825461782</v>
      </c>
      <c r="W43" s="195">
        <f ca="1">Commodity!AA63*(1+$C$20+$C$21)*$F$5+$G19*W$31*$F$6*(1+$C$20+$C$21)+($C$18*W$32+$C$19*W$33)*$F$7+$C$19*W$34*$F$8+$C$19*W$35*$F$9</f>
        <v>3.9380450234416968</v>
      </c>
      <c r="X43" s="195">
        <f ca="1">Commodity!AB63*(1+$C$20+$C$21)*$F$5+$G19*X$31*$F$6*(1+$C$20+$C$21)+($C$18*X$32+$C$19*X$33)*$F$7+$C$19*X$34*$F$8+$C$19*X$35*$F$9</f>
        <v>4.1600828090319339</v>
      </c>
      <c r="Y43" s="195">
        <f ca="1">Commodity!AC63*(1+$C$20+$C$21)*$F$5+$G19*Y$31*$F$6*(1+$C$20+$C$21)+($C$18*Y$32+$C$19*Y$33)*$F$7+$C$19*Y$34*$F$8+$C$19*Y$35*$F$9</f>
        <v>4.3964645779160838</v>
      </c>
      <c r="Z43" s="195">
        <f ca="1">Commodity!AD63*(1+$C$20+$C$21)*$F$5+$G19*Z$31*$F$6*(1+$C$20+$C$21)+($C$18*Z$32+$C$19*Z$33)*$F$7+$C$19*Z$34*$F$8+$C$19*Z$35*$F$9</f>
        <v>4.6482694757706255</v>
      </c>
      <c r="AA43" s="195">
        <f ca="1">Commodity!AE63*(1+$C$20+$C$21)*$F$5+$G19*AA$31*$F$6*(1+$C$20+$C$21)+($C$18*AA$32+$C$19*AA$33)*$F$7+$C$19*AA$34*$F$8+$C$19*AA$35*$F$9</f>
        <v>4.916657835998433</v>
      </c>
      <c r="AB43" s="195">
        <f ca="1">Commodity!AF63*(1+$C$20+$C$21)*$F$5+$G19*AB$31*$F$6*(1+$C$20+$C$21)+($C$18*AB$32+$C$19*AB$33)*$F$7+$C$19*AB$34*$F$8+$C$19*AB$35*$F$9</f>
        <v>5.2028772877520515</v>
      </c>
      <c r="AC43" s="195">
        <f ca="1">Commodity!AG63*(1+$C$20+$C$21)*$F$5+$G19*AC$31*$F$6*(1+$C$20+$C$21)+($C$18*AC$32+$C$19*AC$33)*$F$7+$C$19*AC$34*$F$8+$C$19*AC$35*$F$9</f>
        <v>5.5082693234839368</v>
      </c>
      <c r="AD43" s="195">
        <f ca="1">Commodity!AH63*(1+$C$20+$C$21)*$F$5+$G19*AD$31*$F$6*(1+$C$20+$C$21)+($C$18*AD$32+$C$19*AD$33)*$F$7+$C$19*AD$34*$F$8+$C$19*AD$35*$F$9</f>
        <v>5.8342763605953971</v>
      </c>
      <c r="AE43" s="195">
        <f ca="1">Commodity!AI63*(1+$C$20+$C$21)*$F$5+$G19*AE$31*$F$6*(1+$C$20+$C$21)+($C$18*AE$32+$C$19*AE$33)*$F$7+$C$19*AE$34*$F$8+$C$19*AE$35*$F$9</f>
        <v>6.1824493343568809</v>
      </c>
      <c r="AF43" s="195">
        <f ca="1">Commodity!AJ63*(1+$C$20+$C$21)*$F$5+$G19*AF$31*$F$6*(1+$C$20+$C$21)+($C$18*AF$32+$C$19*AF$33)*$F$7+$C$19*AF$34*$F$8+$C$19*AF$35*$F$9</f>
        <v>6.554455862069033</v>
      </c>
      <c r="AG43" s="195">
        <f ca="1">Commodity!AK63*(1+$C$20+$C$21)*$F$5+$G19*AG$31*$F$6*(1+$C$20+$C$21)+($C$18*AG$32+$C$19*AG$33)*$F$7+$C$19*AG$34*$F$8+$C$19*AG$35*$F$9</f>
        <v>6.9520890214407345</v>
      </c>
      <c r="AH43" s="195">
        <f ca="1">Commodity!AL63*(1+$C$20+$C$21)*$F$5+$G19*AH$31*$F$6*(1+$C$20+$C$21)+($C$18*AH$32+$C$19*AH$33)*$F$7+$C$19*AH$34*$F$8+$C$19*AH$35*$F$9</f>
        <v>7.3772767893938385</v>
      </c>
      <c r="AI43" s="195">
        <f ca="1">Commodity!AM63*(1+$C$20+$C$21)*$F$5+$G19*AI$31*$F$6*(1+$C$20+$C$21)+($C$18*AI$32+$C$19*AI$33)*$F$7+$C$19*AI$34*$F$8+$C$19*AI$35*$F$9</f>
        <v>7.8320921909806245</v>
      </c>
      <c r="AJ43" s="195">
        <f ca="1">Commodity!AN63*(1+$C$20+$C$21)*$F$5+$G19*AJ$31*$F$6*(1+$C$20+$C$21)+($C$18*AJ$32+$C$19*AJ$33)*$F$7+$C$19*AJ$34*$F$8+$C$19*AJ$35*$F$9</f>
        <v>8.3187642118381255</v>
      </c>
    </row>
    <row r="44" spans="1:36">
      <c r="A44" t="s">
        <v>8</v>
      </c>
      <c r="B44" s="33">
        <f t="shared" ca="1" si="4"/>
        <v>2.3218908981177915</v>
      </c>
      <c r="C44" s="33"/>
      <c r="D44" s="195">
        <f ca="1">Commodity!H64*(1+$C$20+$C$21)*$F$5+$G20*D$31*$F$6*(1+$C$20+$C$21)+($C$18*D$32+$C$19*D$33)*$F$7+$C$19*D$34*$F$8+$C$19*D$35*$F$9</f>
        <v>1.1198082303178349</v>
      </c>
      <c r="E44" s="195">
        <f ca="1">Commodity!I64*(1+$C$20+$C$21)*$F$5+$G20*E$31*$F$6*(1+$C$20+$C$21)+($C$18*E$32+$C$19*E$33)*$F$7+$C$19*E$34*$F$8+$C$19*E$35*$F$9</f>
        <v>1.1859680012388738</v>
      </c>
      <c r="F44" s="195">
        <f ca="1">Commodity!J64*(1+$C$20+$C$21)*$F$5+$G20*F$31*$F$6*(1+$C$20+$C$21)+($C$18*F$32+$C$19*F$33)*$F$7+$C$19*F$34*$F$8+$C$19*F$35*$F$9</f>
        <v>1.2568709844583907</v>
      </c>
      <c r="G44" s="195">
        <f ca="1">Commodity!K64*(1+$C$20+$C$21)*$F$5+$G20*G$31*$F$6*(1+$C$20+$C$21)+($C$18*G$32+$C$19*G$33)*$F$7+$C$19*G$34*$F$8+$C$19*G$35*$F$9</f>
        <v>1.3370790919577078</v>
      </c>
      <c r="H44" s="195">
        <f ca="1">Commodity!L64*(1+$C$20+$C$21)*$F$5+$G20*H$31*$F$6*(1+$C$20+$C$21)+($C$18*H$32+$C$19*H$33)*$F$7+$C$19*H$34*$F$8+$C$19*H$35*$F$9</f>
        <v>1.415621531870378</v>
      </c>
      <c r="I44" s="195">
        <f ca="1">Commodity!M64*(1+$C$20+$C$21)*$F$5+$G20*I$31*$F$6*(1+$C$20+$C$21)+($C$18*I$32+$C$19*I$33)*$F$7+$C$19*I$34*$F$8+$C$19*I$35*$F$9</f>
        <v>1.4993860615882195</v>
      </c>
      <c r="J44" s="195">
        <f ca="1">Commodity!N64*(1+$C$20+$C$21)*$F$5+$G20*J$31*$F$6*(1+$C$20+$C$21)+($C$18*J$32+$C$19*J$33)*$F$7+$C$19*J$34*$F$8+$C$19*J$35*$F$9</f>
        <v>1.5903828017732231</v>
      </c>
      <c r="K44" s="195">
        <f ca="1">Commodity!O64*(1+$C$20+$C$21)*$F$5+$G20*K$31*$F$6*(1+$C$20+$C$21)+($C$18*K$32+$C$19*K$33)*$F$7+$C$19*K$34*$F$8+$C$19*K$35*$F$9</f>
        <v>1.6868565286000252</v>
      </c>
      <c r="L44" s="195">
        <f ca="1">Commodity!P64*(1+$C$20+$C$21)*$F$5+$G20*L$31*$F$6*(1+$C$20+$C$21)+($C$18*L$32+$C$19*L$33)*$F$7+$C$19*L$34*$F$8+$C$19*L$35*$F$9</f>
        <v>1.7896489301981737</v>
      </c>
      <c r="M44" s="195">
        <f ca="1">Commodity!Q64*(1+$C$20+$C$21)*$F$5+$G20*M$31*$F$6*(1+$C$20+$C$21)+($C$18*M$32+$C$19*M$33)*$F$7+$C$19*M$34*$F$8+$C$19*M$35*$F$9</f>
        <v>1.8995531236418546</v>
      </c>
      <c r="N44" s="195">
        <f ca="1">Commodity!R64*(1+$C$20+$C$21)*$F$5+$G20*N$31*$F$6*(1+$C$20+$C$21)+($C$18*N$32+$C$19*N$33)*$F$7+$C$19*N$34*$F$8+$C$19*N$35*$F$9</f>
        <v>2.0163065400186797</v>
      </c>
      <c r="O44" s="195">
        <f ca="1">Commodity!S64*(1+$C$20+$C$21)*$F$5+$G20*O$31*$F$6*(1+$C$20+$C$21)+($C$18*O$32+$C$19*O$33)*$F$7+$C$19*O$34*$F$8+$C$19*O$35*$F$9</f>
        <v>2.1369652723246797</v>
      </c>
      <c r="P44" s="195">
        <f ca="1">Commodity!T64*(1+$C$20+$C$21)*$F$5+$G20*P$31*$F$6*(1+$C$20+$C$21)+($C$18*P$32+$C$19*P$33)*$F$7+$C$19*P$34*$F$8+$C$19*P$35*$F$9</f>
        <v>2.2660654017183135</v>
      </c>
      <c r="Q44" s="195">
        <f ca="1">Commodity!U64*(1+$C$20+$C$21)*$F$5+$G20*Q$31*$F$6*(1+$C$20+$C$21)+($C$18*Q$32+$C$19*Q$33)*$F$7+$C$19*Q$34*$F$8+$C$19*Q$35*$F$9</f>
        <v>2.4036031773812812</v>
      </c>
      <c r="R44" s="195">
        <f ca="1">Commodity!V64*(1+$C$20+$C$21)*$F$5+$G20*R$31*$F$6*(1+$C$20+$C$21)+($C$18*R$32+$C$19*R$33)*$F$7+$C$19*R$34*$F$8+$C$19*R$35*$F$9</f>
        <v>2.5502835620852466</v>
      </c>
      <c r="S44" s="195">
        <f ca="1">Commodity!W64*(1+$C$20+$C$21)*$F$5+$G20*S$31*$F$6*(1+$C$20+$C$21)+($C$18*S$32+$C$19*S$33)*$F$7+$C$19*S$34*$F$8+$C$19*S$35*$F$9</f>
        <v>2.7065750818487158</v>
      </c>
      <c r="T44" s="195">
        <f ca="1">Commodity!X64*(1+$C$20+$C$21)*$F$5+$G20*T$31*$F$6*(1+$C$20+$C$21)+($C$18*T$32+$C$19*T$33)*$F$7+$C$19*T$34*$F$8+$C$19*T$35*$F$9</f>
        <v>2.8726279366863103</v>
      </c>
      <c r="U44" s="195">
        <f ca="1">Commodity!Y64*(1+$C$20+$C$21)*$F$5+$G20*U$31*$F$6*(1+$C$20+$C$21)+($C$18*U$32+$C$19*U$33)*$F$7+$C$19*U$34*$F$8+$C$19*U$35*$F$9</f>
        <v>3.0494670670315336</v>
      </c>
      <c r="V44" s="195">
        <f ca="1">Commodity!Z64*(1+$C$20+$C$21)*$F$5+$G20*V$31*$F$6*(1+$C$20+$C$21)+($C$18*V$32+$C$19*V$33)*$F$7+$C$19*V$34*$F$8+$C$19*V$35*$F$9</f>
        <v>3.2378450230531479</v>
      </c>
      <c r="W44" s="195">
        <f ca="1">Commodity!AA64*(1+$C$20+$C$21)*$F$5+$G20*W$31*$F$6*(1+$C$20+$C$21)+($C$18*W$32+$C$19*W$33)*$F$7+$C$19*W$34*$F$8+$C$19*W$35*$F$9</f>
        <v>3.4386299090695309</v>
      </c>
      <c r="X44" s="195">
        <f ca="1">Commodity!AB64*(1+$C$20+$C$21)*$F$5+$G20*X$31*$F$6*(1+$C$20+$C$21)+($C$18*X$32+$C$19*X$33)*$F$7+$C$19*X$34*$F$8+$C$19*X$35*$F$9</f>
        <v>3.6527551397806297</v>
      </c>
      <c r="Y44" s="195">
        <f ca="1">Commodity!AC64*(1+$C$20+$C$21)*$F$5+$G20*Y$31*$F$6*(1+$C$20+$C$21)+($C$18*Y$32+$C$19*Y$33)*$F$7+$C$19*Y$34*$F$8+$C$19*Y$35*$F$9</f>
        <v>3.8812243537856439</v>
      </c>
      <c r="Z44" s="195">
        <f ca="1">Commodity!AD64*(1+$C$20+$C$21)*$F$5+$G20*Z$31*$F$6*(1+$C$20+$C$21)+($C$18*Z$32+$C$19*Z$33)*$F$7+$C$19*Z$34*$F$8+$C$19*Z$35*$F$9</f>
        <v>4.1251166967610473</v>
      </c>
      <c r="AA44" s="195">
        <f ca="1">Commodity!AE64*(1+$C$20+$C$21)*$F$5+$G20*AA$31*$F$6*(1+$C$20+$C$21)+($C$18*AA$32+$C$19*AA$33)*$F$7+$C$19*AA$34*$F$8+$C$19*AA$35*$F$9</f>
        <v>4.3855925021097182</v>
      </c>
      <c r="AB44" s="195">
        <f ca="1">Commodity!AF64*(1+$C$20+$C$21)*$F$5+$G20*AB$31*$F$6*(1+$C$20+$C$21)+($C$18*AB$32+$C$19*AB$33)*$F$7+$C$19*AB$34*$F$8+$C$19*AB$35*$F$9</f>
        <v>4.663899398984201</v>
      </c>
      <c r="AC44" s="195">
        <f ca="1">Commodity!AG64*(1+$C$20+$C$21)*$F$5+$G20*AC$31*$F$6*(1+$C$20+$C$21)+($C$18*AC$32+$C$19*AC$33)*$F$7+$C$19*AC$34*$F$8+$C$19*AC$35*$F$9</f>
        <v>4.9613788798369489</v>
      </c>
      <c r="AD44" s="195">
        <f ca="1">Commodity!AH64*(1+$C$20+$C$21)*$F$5+$G20*AD$31*$F$6*(1+$C$20+$C$21)+($C$18*AD$32+$C$19*AD$33)*$F$7+$C$19*AD$34*$F$8+$C$19*AD$35*$F$9</f>
        <v>5.2794733620692735</v>
      </c>
      <c r="AE44" s="195">
        <f ca="1">Commodity!AI64*(1+$C$20+$C$21)*$F$5+$G20*AE$31*$F$6*(1+$C$20+$C$21)+($C$18*AE$32+$C$19*AE$33)*$F$7+$C$19*AE$34*$F$8+$C$19*AE$35*$F$9</f>
        <v>5.6197337809516217</v>
      </c>
      <c r="AF44" s="195">
        <f ca="1">Commodity!AJ64*(1+$C$20+$C$21)*$F$5+$G20*AF$31*$F$6*(1+$C$20+$C$21)+($C$18*AF$32+$C$19*AF$33)*$F$7+$C$19*AF$34*$F$8+$C$19*AF$35*$F$9</f>
        <v>5.9838277537846354</v>
      </c>
      <c r="AG44" s="195">
        <f ca="1">Commodity!AK64*(1+$C$20+$C$21)*$F$5+$G20*AG$31*$F$6*(1+$C$20+$C$21)+($C$18*AG$32+$C$19*AG$33)*$F$7+$C$19*AG$34*$F$8+$C$19*AG$35*$F$9</f>
        <v>6.3735483582772003</v>
      </c>
      <c r="AH44" s="195">
        <f ca="1">Commodity!AL64*(1+$C$20+$C$21)*$F$5+$G20*AH$31*$F$6*(1+$C$20+$C$21)+($C$18*AH$32+$C$19*AH$33)*$F$7+$C$19*AH$34*$F$8+$C$19*AH$35*$F$9</f>
        <v>6.7908235713511695</v>
      </c>
      <c r="AI44" s="195">
        <f ca="1">Commodity!AM64*(1+$C$20+$C$21)*$F$5+$G20*AI$31*$F$6*(1+$C$20+$C$21)+($C$18*AI$32+$C$19*AI$33)*$F$7+$C$19*AI$34*$F$8+$C$19*AI$35*$F$9</f>
        <v>7.2377264180588172</v>
      </c>
      <c r="AJ44" s="195">
        <f ca="1">Commodity!AN64*(1+$C$20+$C$21)*$F$5+$G20*AJ$31*$F$6*(1+$C$20+$C$21)+($C$18*AJ$32+$C$19*AJ$33)*$F$7+$C$19*AJ$34*$F$8+$C$19*AJ$35*$F$9</f>
        <v>7.7164858840371826</v>
      </c>
    </row>
    <row r="45" spans="1:36">
      <c r="A45" t="s">
        <v>9</v>
      </c>
      <c r="B45" s="33">
        <f t="shared" ca="1" si="4"/>
        <v>2.3461670491477156</v>
      </c>
      <c r="C45" s="33"/>
      <c r="D45" s="195">
        <f ca="1">Commodity!H65*(1+$C$20+$C$21)*$F$5+$G21*D$31*$F$6*(1+$C$20+$C$21)+($C$18*D$32+$C$19*D$33)*$F$7+$C$19*D$34*$F$8+$C$19*D$35*$F$9</f>
        <v>1.1402615802898537</v>
      </c>
      <c r="E45" s="195">
        <f ca="1">Commodity!I65*(1+$C$20+$C$21)*$F$5+$G21*E$31*$F$6*(1+$C$20+$C$21)+($C$18*E$32+$C$19*E$33)*$F$7+$C$19*E$34*$F$8+$C$19*E$35*$F$9</f>
        <v>1.2056147818196477</v>
      </c>
      <c r="F45" s="195">
        <f ca="1">Commodity!J65*(1+$C$20+$C$21)*$F$5+$G21*F$31*$F$6*(1+$C$20+$C$21)+($C$18*F$32+$C$19*F$33)*$F$7+$C$19*F$34*$F$8+$C$19*F$35*$F$9</f>
        <v>1.2765532595037619</v>
      </c>
      <c r="G45" s="195">
        <f ca="1">Commodity!K65*(1+$C$20+$C$21)*$F$5+$G21*G$31*$F$6*(1+$C$20+$C$21)+($C$18*G$32+$C$19*G$33)*$F$7+$C$19*G$34*$F$8+$C$19*G$35*$F$9</f>
        <v>1.3575167978688742</v>
      </c>
      <c r="H45" s="195">
        <f ca="1">Commodity!L65*(1+$C$20+$C$21)*$F$5+$G21*H$31*$F$6*(1+$C$20+$C$21)+($C$18*H$32+$C$19*H$33)*$F$7+$C$19*H$34*$F$8+$C$19*H$35*$F$9</f>
        <v>1.4363171959721532</v>
      </c>
      <c r="I45" s="195">
        <f ca="1">Commodity!M65*(1+$C$20+$C$21)*$F$5+$G21*I$31*$F$6*(1+$C$20+$C$21)+($C$18*I$32+$C$19*I$33)*$F$7+$C$19*I$34*$F$8+$C$19*I$35*$F$9</f>
        <v>1.5204011125938131</v>
      </c>
      <c r="J45" s="195">
        <f ca="1">Commodity!N65*(1+$C$20+$C$21)*$F$5+$G21*J$31*$F$6*(1+$C$20+$C$21)+($C$18*J$32+$C$19*J$33)*$F$7+$C$19*J$34*$F$8+$C$19*J$35*$F$9</f>
        <v>1.6120323297604142</v>
      </c>
      <c r="K45" s="195">
        <f ca="1">Commodity!O65*(1+$C$20+$C$21)*$F$5+$G21*K$31*$F$6*(1+$C$20+$C$21)+($C$18*K$32+$C$19*K$33)*$F$7+$C$19*K$34*$F$8+$C$19*K$35*$F$9</f>
        <v>1.7090592263122284</v>
      </c>
      <c r="L45" s="195">
        <f ca="1">Commodity!P65*(1+$C$20+$C$21)*$F$5+$G21*L$31*$F$6*(1+$C$20+$C$21)+($C$18*L$32+$C$19*L$33)*$F$7+$C$19*L$34*$F$8+$C$19*L$35*$F$9</f>
        <v>1.8124502345502447</v>
      </c>
      <c r="M45" s="195">
        <f ca="1">Commodity!Q65*(1+$C$20+$C$21)*$F$5+$G21*M$31*$F$6*(1+$C$20+$C$21)+($C$18*M$32+$C$19*M$33)*$F$7+$C$19*M$34*$F$8+$C$19*M$35*$F$9</f>
        <v>1.9230261003556008</v>
      </c>
      <c r="N45" s="195">
        <f ca="1">Commodity!R65*(1+$C$20+$C$21)*$F$5+$G21*N$31*$F$6*(1+$C$20+$C$21)+($C$18*N$32+$C$19*N$33)*$F$7+$C$19*N$34*$F$8+$C$19*N$35*$F$9</f>
        <v>2.0404410395772596</v>
      </c>
      <c r="O45" s="195">
        <f ca="1">Commodity!S65*(1+$C$20+$C$21)*$F$5+$G21*O$31*$F$6*(1+$C$20+$C$21)+($C$18*O$32+$C$19*O$33)*$F$7+$C$19*O$34*$F$8+$C$19*O$35*$F$9</f>
        <v>2.161408111634961</v>
      </c>
      <c r="P45" s="195">
        <f ca="1">Commodity!T65*(1+$C$20+$C$21)*$F$5+$G21*P$31*$F$6*(1+$C$20+$C$21)+($C$18*P$32+$C$19*P$33)*$F$7+$C$19*P$34*$F$8+$C$19*P$35*$F$9</f>
        <v>2.2910561891603427</v>
      </c>
      <c r="Q45" s="195">
        <f ca="1">Commodity!U65*(1+$C$20+$C$21)*$F$5+$G21*Q$31*$F$6*(1+$C$20+$C$21)+($C$18*Q$32+$C$19*Q$33)*$F$7+$C$19*Q$34*$F$8+$C$19*Q$35*$F$9</f>
        <v>2.4291623255334338</v>
      </c>
      <c r="R45" s="195">
        <f ca="1">Commodity!V65*(1+$C$20+$C$21)*$F$5+$G21*R$31*$F$6*(1+$C$20+$C$21)+($C$18*R$32+$C$19*R$33)*$F$7+$C$19*R$34*$F$8+$C$19*R$35*$F$9</f>
        <v>2.5764471618909743</v>
      </c>
      <c r="S45" s="195">
        <f ca="1">Commodity!W65*(1+$C$20+$C$21)*$F$5+$G21*S$31*$F$6*(1+$C$20+$C$21)+($C$18*S$32+$C$19*S$33)*$F$7+$C$19*S$34*$F$8+$C$19*S$35*$F$9</f>
        <v>2.7333492590572335</v>
      </c>
      <c r="T45" s="195">
        <f ca="1">Commodity!X65*(1+$C$20+$C$21)*$F$5+$G21*T$31*$F$6*(1+$C$20+$C$21)+($C$18*T$32+$C$19*T$33)*$F$7+$C$19*T$34*$F$8+$C$19*T$35*$F$9</f>
        <v>2.9000086074648057</v>
      </c>
      <c r="U45" s="195">
        <f ca="1">Commodity!Y65*(1+$C$20+$C$21)*$F$5+$G21*U$31*$F$6*(1+$C$20+$C$21)+($C$18*U$32+$C$19*U$33)*$F$7+$C$19*U$34*$F$8+$C$19*U$35*$F$9</f>
        <v>3.0774552523382126</v>
      </c>
      <c r="V45" s="195">
        <f ca="1">Commodity!Z65*(1+$C$20+$C$21)*$F$5+$G21*V$31*$F$6*(1+$C$20+$C$21)+($C$18*V$32+$C$19*V$33)*$F$7+$C$19*V$34*$F$8+$C$19*V$35*$F$9</f>
        <v>3.2664407228880101</v>
      </c>
      <c r="W45" s="195">
        <f ca="1">Commodity!AA65*(1+$C$20+$C$21)*$F$5+$G21*W$31*$F$6*(1+$C$20+$C$21)+($C$18*W$32+$C$19*W$33)*$F$7+$C$19*W$34*$F$8+$C$19*W$35*$F$9</f>
        <v>3.4678331234325737</v>
      </c>
      <c r="X45" s="195">
        <f ca="1">Commodity!AB65*(1+$C$20+$C$21)*$F$5+$G21*X$31*$F$6*(1+$C$20+$C$21)+($C$18*X$32+$C$19*X$33)*$F$7+$C$19*X$34*$F$8+$C$19*X$35*$F$9</f>
        <v>3.6825658686718556</v>
      </c>
      <c r="Y45" s="195">
        <f ca="1">Commodity!AC65*(1+$C$20+$C$21)*$F$5+$G21*Y$31*$F$6*(1+$C$20+$C$21)+($C$18*Y$32+$C$19*Y$33)*$F$7+$C$19*Y$34*$F$8+$C$19*Y$35*$F$9</f>
        <v>3.9116425972050535</v>
      </c>
      <c r="Z45" s="195">
        <f ca="1">Commodity!AD65*(1+$C$20+$C$21)*$F$5+$G21*Z$31*$F$6*(1+$C$20+$C$21)+($C$18*Z$32+$C$19*Z$33)*$F$7+$C$19*Z$34*$F$8+$C$19*Z$35*$F$9</f>
        <v>4.1561424547086405</v>
      </c>
      <c r="AA45" s="195">
        <f ca="1">Commodity!AE65*(1+$C$20+$C$21)*$F$5+$G21*AA$31*$F$6*(1+$C$20+$C$21)+($C$18*AA$32+$C$19*AA$33)*$F$7+$C$19*AA$34*$F$8+$C$19*AA$35*$F$9</f>
        <v>4.4172257745854919</v>
      </c>
      <c r="AB45" s="195">
        <f ca="1">Commodity!AF65*(1+$C$20+$C$21)*$F$5+$G21*AB$31*$F$6*(1+$C$20+$C$21)+($C$18*AB$32+$C$19*AB$33)*$F$7+$C$19*AB$34*$F$8+$C$19*AB$35*$F$9</f>
        <v>4.6961401859881589</v>
      </c>
      <c r="AC45" s="195">
        <f ca="1">Commodity!AG65*(1+$C$20+$C$21)*$F$5+$G21*AC$31*$F$6*(1+$C$20+$C$21)+($C$18*AC$32+$C$19*AC$33)*$F$7+$C$19*AC$34*$F$8+$C$19*AC$35*$F$9</f>
        <v>4.9942271813690891</v>
      </c>
      <c r="AD45" s="195">
        <f ca="1">Commodity!AH65*(1+$C$20+$C$21)*$F$5+$G21*AD$31*$F$6*(1+$C$20+$C$21)+($C$18*AD$32+$C$19*AD$33)*$F$7+$C$19*AD$34*$F$8+$C$19*AD$35*$F$9</f>
        <v>5.3129291781295942</v>
      </c>
      <c r="AE45" s="195">
        <f ca="1">Commodity!AI65*(1+$C$20+$C$21)*$F$5+$G21*AE$31*$F$6*(1+$C$20+$C$21)+($C$18*AE$32+$C$19*AE$33)*$F$7+$C$19*AE$34*$F$8+$C$19*AE$35*$F$9</f>
        <v>5.6537971115401291</v>
      </c>
      <c r="AF45" s="195">
        <f ca="1">Commodity!AJ65*(1+$C$20+$C$21)*$F$5+$G21*AF$31*$F$6*(1+$C$20+$C$21)+($C$18*AF$32+$C$19*AF$33)*$F$7+$C$19*AF$34*$F$8+$C$19*AF$35*$F$9</f>
        <v>6.0184985989013233</v>
      </c>
      <c r="AG45" s="195">
        <f ca="1">Commodity!AK65*(1+$C$20+$C$21)*$F$5+$G21*AG$31*$F$6*(1+$C$20+$C$21)+($C$18*AG$32+$C$19*AG$33)*$F$7+$C$19*AG$34*$F$8+$C$19*AG$35*$F$9</f>
        <v>6.4088267179220688</v>
      </c>
      <c r="AH45" s="195">
        <f ca="1">Commodity!AL65*(1+$C$20+$C$21)*$F$5+$G21*AH$31*$F$6*(1+$C$20+$C$21)+($C$18*AH$32+$C$19*AH$33)*$F$7+$C$19*AH$34*$F$8+$C$19*AH$35*$F$9</f>
        <v>6.8267094455242248</v>
      </c>
      <c r="AI45" s="195">
        <f ca="1">Commodity!AM65*(1+$C$20+$C$21)*$F$5+$G21*AI$31*$F$6*(1+$C$20+$C$21)+($C$18*AI$32+$C$19*AI$33)*$F$7+$C$19*AI$34*$F$8+$C$19*AI$35*$F$9</f>
        <v>7.274219806760053</v>
      </c>
      <c r="AJ45" s="195">
        <f ca="1">Commodity!AN65*(1+$C$20+$C$21)*$F$5+$G21*AJ$31*$F$6*(1+$C$20+$C$21)+($C$18*AJ$32+$C$19*AJ$33)*$F$7+$C$19*AJ$34*$F$8+$C$19*AJ$35*$F$9</f>
        <v>7.7535867872666016</v>
      </c>
    </row>
    <row r="46" spans="1:36">
      <c r="A46" t="s">
        <v>10</v>
      </c>
      <c r="B46" s="33">
        <f t="shared" ca="1" si="4"/>
        <v>2.330294436422415</v>
      </c>
      <c r="C46" s="33"/>
      <c r="D46" s="195">
        <f ca="1">Commodity!H66*(1+$C$20+$C$21)*$F$5+$G22*D$31*$F$6*(1+$C$20+$C$21)+($C$18*D$32+$C$19*D$33)*$F$7+$C$19*D$34*$F$8+$C$19*D$35*$F$9</f>
        <v>1.1226329793926531</v>
      </c>
      <c r="E46" s="195">
        <f ca="1">Commodity!I66*(1+$C$20+$C$21)*$F$5+$G22*E$31*$F$6*(1+$C$20+$C$21)+($C$18*E$32+$C$19*E$33)*$F$7+$C$19*E$34*$F$8+$C$19*E$35*$F$9</f>
        <v>1.1915829076744107</v>
      </c>
      <c r="F46" s="195">
        <f ca="1">Commodity!J66*(1+$C$20+$C$21)*$F$5+$G22*F$31*$F$6*(1+$C$20+$C$21)+($C$18*F$32+$C$19*F$33)*$F$7+$C$19*F$34*$F$8+$C$19*F$35*$F$9</f>
        <v>1.2649428834386947</v>
      </c>
      <c r="G46" s="195">
        <f ca="1">Commodity!K66*(1+$C$20+$C$21)*$F$5+$G22*G$31*$F$6*(1+$C$20+$C$21)+($C$18*G$32+$C$19*G$33)*$F$7+$C$19*G$34*$F$8+$C$19*G$35*$F$9</f>
        <v>1.3437058558770705</v>
      </c>
      <c r="H46" s="195">
        <f ca="1">Commodity!L66*(1+$C$20+$C$21)*$F$5+$G22*H$31*$F$6*(1+$C$20+$C$21)+($C$18*H$32+$C$19*H$33)*$F$7+$C$19*H$34*$F$8+$C$19*H$35*$F$9</f>
        <v>1.4225901412163968</v>
      </c>
      <c r="I46" s="195">
        <f ca="1">Commodity!M66*(1+$C$20+$C$21)*$F$5+$G22*I$31*$F$6*(1+$C$20+$C$21)+($C$18*I$32+$C$19*I$33)*$F$7+$C$19*I$34*$F$8+$C$19*I$35*$F$9</f>
        <v>1.5074696774050416</v>
      </c>
      <c r="J46" s="195">
        <f ca="1">Commodity!N66*(1+$C$20+$C$21)*$F$5+$G22*J$31*$F$6*(1+$C$20+$C$21)+($C$18*J$32+$C$19*J$33)*$F$7+$C$19*J$34*$F$8+$C$19*J$35*$F$9</f>
        <v>1.5983292409030732</v>
      </c>
      <c r="K46" s="195">
        <f ca="1">Commodity!O66*(1+$C$20+$C$21)*$F$5+$G22*K$31*$F$6*(1+$C$20+$C$21)+($C$18*K$32+$C$19*K$33)*$F$7+$C$19*K$34*$F$8+$C$19*K$35*$F$9</f>
        <v>1.695085802981118</v>
      </c>
      <c r="L46" s="195">
        <f ca="1">Commodity!P66*(1+$C$20+$C$21)*$F$5+$G22*L$31*$F$6*(1+$C$20+$C$21)+($C$18*L$32+$C$19*L$33)*$F$7+$C$19*L$34*$F$8+$C$19*L$35*$F$9</f>
        <v>1.7982371936082435</v>
      </c>
      <c r="M46" s="195">
        <f ca="1">Commodity!Q66*(1+$C$20+$C$21)*$F$5+$G22*M$31*$F$6*(1+$C$20+$C$21)+($C$18*M$32+$C$19*M$33)*$F$7+$C$19*M$34*$F$8+$C$19*M$35*$F$9</f>
        <v>1.9082826242138153</v>
      </c>
      <c r="N46" s="195">
        <f ca="1">Commodity!R66*(1+$C$20+$C$21)*$F$5+$G22*N$31*$F$6*(1+$C$20+$C$21)+($C$18*N$32+$C$19*N$33)*$F$7+$C$19*N$34*$F$8+$C$19*N$35*$F$9</f>
        <v>2.0241647397932017</v>
      </c>
      <c r="O46" s="195">
        <f ca="1">Commodity!S66*(1+$C$20+$C$21)*$F$5+$G22*O$31*$F$6*(1+$C$20+$C$21)+($C$18*O$32+$C$19*O$33)*$F$7+$C$19*O$34*$F$8+$C$19*O$35*$F$9</f>
        <v>2.1457538626539856</v>
      </c>
      <c r="P46" s="195">
        <f ca="1">Commodity!T66*(1+$C$20+$C$21)*$F$5+$G22*P$31*$F$6*(1+$C$20+$C$21)+($C$18*P$32+$C$19*P$33)*$F$7+$C$19*P$34*$F$8+$C$19*P$35*$F$9</f>
        <v>2.2750652261330506</v>
      </c>
      <c r="Q46" s="195">
        <f ca="1">Commodity!U66*(1+$C$20+$C$21)*$F$5+$G22*Q$31*$F$6*(1+$C$20+$C$21)+($C$18*Q$32+$C$19*Q$33)*$F$7+$C$19*Q$34*$F$8+$C$19*Q$35*$F$9</f>
        <v>2.412880869316596</v>
      </c>
      <c r="R46" s="195">
        <f ca="1">Commodity!V66*(1+$C$20+$C$21)*$F$5+$G22*R$31*$F$6*(1+$C$20+$C$21)+($C$18*R$32+$C$19*R$33)*$F$7+$C$19*R$34*$F$8+$C$19*R$35*$F$9</f>
        <v>2.5597474979498012</v>
      </c>
      <c r="S46" s="195">
        <f ca="1">Commodity!W66*(1+$C$20+$C$21)*$F$5+$G22*S$31*$F$6*(1+$C$20+$C$21)+($C$18*S$32+$C$19*S$33)*$F$7+$C$19*S$34*$F$8+$C$19*S$35*$F$9</f>
        <v>2.7163445962169548</v>
      </c>
      <c r="T46" s="195">
        <f ca="1">Commodity!X66*(1+$C$20+$C$21)*$F$5+$G22*T$31*$F$6*(1+$C$20+$C$21)+($C$18*T$32+$C$19*T$33)*$F$7+$C$19*T$34*$F$8+$C$19*T$35*$F$9</f>
        <v>2.8826234731752658</v>
      </c>
      <c r="U46" s="195">
        <f ca="1">Commodity!Y66*(1+$C$20+$C$21)*$F$5+$G22*U$31*$F$6*(1+$C$20+$C$21)+($C$18*U$32+$C$19*U$33)*$F$7+$C$19*U$34*$F$8+$C$19*U$35*$F$9</f>
        <v>3.0597085147369532</v>
      </c>
      <c r="V46" s="195">
        <f ca="1">Commodity!Z66*(1+$C$20+$C$21)*$F$5+$G22*V$31*$F$6*(1+$C$20+$C$21)+($C$18*V$32+$C$19*V$33)*$F$7+$C$19*V$34*$F$8+$C$19*V$35*$F$9</f>
        <v>3.2483323819750307</v>
      </c>
      <c r="W46" s="195">
        <f ca="1">Commodity!AA66*(1+$C$20+$C$21)*$F$5+$G22*W$31*$F$6*(1+$C$20+$C$21)+($C$18*W$32+$C$19*W$33)*$F$7+$C$19*W$34*$F$8+$C$19*W$35*$F$9</f>
        <v>3.4493631792078747</v>
      </c>
      <c r="X46" s="195">
        <f ca="1">Commodity!AB66*(1+$C$20+$C$21)*$F$5+$G22*X$31*$F$6*(1+$C$20+$C$21)+($C$18*X$32+$C$19*X$33)*$F$7+$C$19*X$34*$F$8+$C$19*X$35*$F$9</f>
        <v>3.6637343211354372</v>
      </c>
      <c r="Y46" s="195">
        <f ca="1">Commodity!AC66*(1+$C$20+$C$21)*$F$5+$G22*Y$31*$F$6*(1+$C$20+$C$21)+($C$18*Y$32+$C$19*Y$33)*$F$7+$C$19*Y$34*$F$8+$C$19*Y$35*$F$9</f>
        <v>3.8924494463569119</v>
      </c>
      <c r="Z46" s="195">
        <f ca="1">Commodity!AD66*(1+$C$20+$C$21)*$F$5+$G22*Z$31*$F$6*(1+$C$20+$C$21)+($C$18*Z$32+$C$19*Z$33)*$F$7+$C$19*Z$34*$F$8+$C$19*Z$35*$F$9</f>
        <v>4.1365877005487794</v>
      </c>
      <c r="AA46" s="195">
        <f ca="1">Commodity!AE66*(1+$C$20+$C$21)*$F$5+$G22*AA$31*$F$6*(1+$C$20+$C$21)+($C$18*AA$32+$C$19*AA$33)*$F$7+$C$19*AA$34*$F$8+$C$19*AA$35*$F$9</f>
        <v>4.3973094171139113</v>
      </c>
      <c r="AB46" s="195">
        <f ca="1">Commodity!AF66*(1+$C$20+$C$21)*$F$5+$G22*AB$31*$F$6*(1+$C$20+$C$21)+($C$18*AB$32+$C$19*AB$33)*$F$7+$C$19*AB$34*$F$8+$C$19*AB$35*$F$9</f>
        <v>4.6758622252048552</v>
      </c>
      <c r="AC46" s="195">
        <f ca="1">Commodity!AG66*(1+$C$20+$C$21)*$F$5+$G22*AC$31*$F$6*(1+$C$20+$C$21)+($C$18*AC$32+$C$19*AC$33)*$F$7+$C$19*AC$34*$F$8+$C$19*AC$35*$F$9</f>
        <v>4.9735876172740658</v>
      </c>
      <c r="AD46" s="195">
        <f ca="1">Commodity!AH66*(1+$C$20+$C$21)*$F$5+$G22*AD$31*$F$6*(1+$C$20+$C$21)+($C$18*AD$32+$C$19*AD$33)*$F$7+$C$19*AD$34*$F$8+$C$19*AD$35*$F$9</f>
        <v>5.2919280107228506</v>
      </c>
      <c r="AE46" s="195">
        <f ca="1">Commodity!AI66*(1+$C$20+$C$21)*$F$5+$G22*AE$31*$F$6*(1+$C$20+$C$21)+($C$18*AE$32+$C$19*AE$33)*$F$7+$C$19*AE$34*$F$8+$C$19*AE$35*$F$9</f>
        <v>5.6324343408216624</v>
      </c>
      <c r="AF46" s="195">
        <f ca="1">Commodity!AJ66*(1+$C$20+$C$21)*$F$5+$G22*AF$31*$F$6*(1+$C$20+$C$21)+($C$18*AF$32+$C$19*AF$33)*$F$7+$C$19*AF$34*$F$8+$C$19*AF$35*$F$9</f>
        <v>5.9967742248711371</v>
      </c>
      <c r="AG46" s="195">
        <f ca="1">Commodity!AK66*(1+$C$20+$C$21)*$F$5+$G22*AG$31*$F$6*(1+$C$20+$C$21)+($C$18*AG$32+$C$19*AG$33)*$F$7+$C$19*AG$34*$F$8+$C$19*AG$35*$F$9</f>
        <v>6.3867407405801631</v>
      </c>
      <c r="AH46" s="195">
        <f ca="1">Commodity!AL66*(1+$C$20+$C$21)*$F$5+$G22*AH$31*$F$6*(1+$C$20+$C$21)+($C$18*AH$32+$C$19*AH$33)*$F$7+$C$19*AH$34*$F$8+$C$19*AH$35*$F$9</f>
        <v>6.8042618648705959</v>
      </c>
      <c r="AI46" s="195">
        <f ca="1">Commodity!AM66*(1+$C$20+$C$21)*$F$5+$G22*AI$31*$F$6*(1+$C$20+$C$21)+($C$18*AI$32+$C$19*AI$33)*$F$7+$C$19*AI$34*$F$8+$C$19*AI$35*$F$9</f>
        <v>7.2514106227947046</v>
      </c>
      <c r="AJ46" s="195">
        <f ca="1">Commodity!AN66*(1+$C$20+$C$21)*$F$5+$G22*AJ$31*$F$6*(1+$C$20+$C$21)+($C$18*AJ$32+$C$19*AJ$33)*$F$7+$C$19*AJ$34*$F$8+$C$19*AJ$35*$F$9</f>
        <v>7.7304159999895328</v>
      </c>
    </row>
    <row r="47" spans="1:36">
      <c r="A47" t="s">
        <v>11</v>
      </c>
      <c r="B47" s="33">
        <f t="shared" ca="1" si="4"/>
        <v>2.3350797801195911</v>
      </c>
      <c r="C47" s="33"/>
      <c r="D47" s="195">
        <f ca="1">Commodity!H67*(1+$C$20+$C$21)*$F$5+$G23*D$31*$F$6*(1+$C$20+$C$21)+($C$18*D$32+$C$19*D$33)*$F$7+$C$19*D$34*$F$8+$C$19*D$35*$F$9</f>
        <v>1.1265525797673235</v>
      </c>
      <c r="E47" s="195">
        <f ca="1">Commodity!I67*(1+$C$20+$C$21)*$F$5+$G23*E$31*$F$6*(1+$C$20+$C$21)+($C$18*E$32+$C$19*E$33)*$F$7+$C$19*E$34*$F$8+$C$19*E$35*$F$9</f>
        <v>1.1952942352661655</v>
      </c>
      <c r="F47" s="195">
        <f ca="1">Commodity!J67*(1+$C$20+$C$21)*$F$5+$G23*F$31*$F$6*(1+$C$20+$C$21)+($C$18*F$32+$C$19*F$33)*$F$7+$C$19*F$34*$F$8+$C$19*F$35*$F$9</f>
        <v>1.268935844228684</v>
      </c>
      <c r="G47" s="195">
        <f ca="1">Commodity!K67*(1+$C$20+$C$21)*$F$5+$G23*G$31*$F$6*(1+$C$20+$C$21)+($C$18*G$32+$C$19*G$33)*$F$7+$C$19*G$34*$F$8+$C$19*G$35*$F$9</f>
        <v>1.3476424628360753</v>
      </c>
      <c r="H47" s="195">
        <f ca="1">Commodity!L67*(1+$C$20+$C$21)*$F$5+$G23*H$31*$F$6*(1+$C$20+$C$21)+($C$18*H$32+$C$19*H$33)*$F$7+$C$19*H$34*$F$8+$C$19*H$35*$F$9</f>
        <v>1.4265422853763108</v>
      </c>
      <c r="I47" s="195">
        <f ca="1">Commodity!M67*(1+$C$20+$C$21)*$F$5+$G23*I$31*$F$6*(1+$C$20+$C$21)+($C$18*I$32+$C$19*I$33)*$F$7+$C$19*I$34*$F$8+$C$19*I$35*$F$9</f>
        <v>1.5116270513199686</v>
      </c>
      <c r="J47" s="195">
        <f ca="1">Commodity!N67*(1+$C$20+$C$21)*$F$5+$G23*J$31*$F$6*(1+$C$20+$C$21)+($C$18*J$32+$C$19*J$33)*$F$7+$C$19*J$34*$F$8+$C$19*J$35*$F$9</f>
        <v>1.6026093070873992</v>
      </c>
      <c r="K47" s="195">
        <f ca="1">Commodity!O67*(1+$C$20+$C$21)*$F$5+$G23*K$31*$F$6*(1+$C$20+$C$21)+($C$18*K$32+$C$19*K$33)*$F$7+$C$19*K$34*$F$8+$C$19*K$35*$F$9</f>
        <v>1.6995027404178524</v>
      </c>
      <c r="L47" s="195">
        <f ca="1">Commodity!P67*(1+$C$20+$C$21)*$F$5+$G23*L$31*$F$6*(1+$C$20+$C$21)+($C$18*L$32+$C$19*L$33)*$F$7+$C$19*L$34*$F$8+$C$19*L$35*$F$9</f>
        <v>1.8028143573059123</v>
      </c>
      <c r="M47" s="195">
        <f ca="1">Commodity!Q67*(1+$C$20+$C$21)*$F$5+$G23*M$31*$F$6*(1+$C$20+$C$21)+($C$18*M$32+$C$19*M$33)*$F$7+$C$19*M$34*$F$8+$C$19*M$35*$F$9</f>
        <v>1.9129989635856808</v>
      </c>
      <c r="N47" s="195">
        <f ca="1">Commodity!R67*(1+$C$20+$C$21)*$F$5+$G23*N$31*$F$6*(1+$C$20+$C$21)+($C$18*N$32+$C$19*N$33)*$F$7+$C$19*N$34*$F$8+$C$19*N$35*$F$9</f>
        <v>2.028822817494778</v>
      </c>
      <c r="O47" s="195">
        <f ca="1">Commodity!S67*(1+$C$20+$C$21)*$F$5+$G23*O$31*$F$6*(1+$C$20+$C$21)+($C$18*O$32+$C$19*O$33)*$F$7+$C$19*O$34*$F$8+$C$19*O$35*$F$9</f>
        <v>2.1505265080576836</v>
      </c>
      <c r="P47" s="195">
        <f ca="1">Commodity!T67*(1+$C$20+$C$21)*$F$5+$G23*P$31*$F$6*(1+$C$20+$C$21)+($C$18*P$32+$C$19*P$33)*$F$7+$C$19*P$34*$F$8+$C$19*P$35*$F$9</f>
        <v>2.2799541806816439</v>
      </c>
      <c r="Q47" s="195">
        <f ca="1">Commodity!U67*(1+$C$20+$C$21)*$F$5+$G23*Q$31*$F$6*(1+$C$20+$C$21)+($C$18*Q$32+$C$19*Q$33)*$F$7+$C$19*Q$34*$F$8+$C$19*Q$35*$F$9</f>
        <v>2.4179002346589709</v>
      </c>
      <c r="R47" s="195">
        <f ca="1">Commodity!V67*(1+$C$20+$C$21)*$F$5+$G23*R$31*$F$6*(1+$C$20+$C$21)+($C$18*R$32+$C$19*R$33)*$F$7+$C$19*R$34*$F$8+$C$19*R$35*$F$9</f>
        <v>2.5648906875995174</v>
      </c>
      <c r="S47" s="195">
        <f ca="1">Commodity!W67*(1+$C$20+$C$21)*$F$5+$G23*S$31*$F$6*(1+$C$20+$C$21)+($C$18*S$32+$C$19*S$33)*$F$7+$C$19*S$34*$F$8+$C$19*S$35*$F$9</f>
        <v>2.7216279491797968</v>
      </c>
      <c r="T47" s="195">
        <f ca="1">Commodity!X67*(1+$C$20+$C$21)*$F$5+$G23*T$31*$F$6*(1+$C$20+$C$21)+($C$18*T$32+$C$19*T$33)*$F$7+$C$19*T$34*$F$8+$C$19*T$35*$F$9</f>
        <v>2.8880360967807137</v>
      </c>
      <c r="U47" s="195">
        <f ca="1">Commodity!Y67*(1+$C$20+$C$21)*$F$5+$G23*U$31*$F$6*(1+$C$20+$C$21)+($C$18*U$32+$C$19*U$33)*$F$7+$C$19*U$34*$F$8+$C$19*U$35*$F$9</f>
        <v>3.0652531321526335</v>
      </c>
      <c r="V47" s="195">
        <f ca="1">Commodity!Z67*(1+$C$20+$C$21)*$F$5+$G23*V$31*$F$6*(1+$C$20+$C$21)+($C$18*V$32+$C$19*V$33)*$F$7+$C$19*V$34*$F$8+$C$19*V$35*$F$9</f>
        <v>3.2540089932009435</v>
      </c>
      <c r="W47" s="195">
        <f ca="1">Commodity!AA67*(1+$C$20+$C$21)*$F$5+$G23*W$31*$F$6*(1+$C$20+$C$21)+($C$18*W$32+$C$19*W$33)*$F$7+$C$19*W$34*$F$8+$C$19*W$35*$F$9</f>
        <v>3.4551717842440195</v>
      </c>
      <c r="X47" s="195">
        <f ca="1">Commodity!AB67*(1+$C$20+$C$21)*$F$5+$G23*X$31*$F$6*(1+$C$20+$C$21)+($C$18*X$32+$C$19*X$33)*$F$7+$C$19*X$34*$F$8+$C$19*X$35*$F$9</f>
        <v>3.6696749199818175</v>
      </c>
      <c r="Y47" s="195">
        <f ca="1">Commodity!AC67*(1+$C$20+$C$21)*$F$5+$G23*Y$31*$F$6*(1+$C$20+$C$21)+($C$18*Y$32+$C$19*Y$33)*$F$7+$C$19*Y$34*$F$8+$C$19*Y$35*$F$9</f>
        <v>3.8985220390135251</v>
      </c>
      <c r="Z47" s="195">
        <f ca="1">Commodity!AD67*(1+$C$20+$C$21)*$F$5+$G23*Z$31*$F$6*(1+$C$20+$C$21)+($C$18*Z$32+$C$19*Z$33)*$F$7+$C$19*Z$34*$F$8+$C$19*Z$35*$F$9</f>
        <v>4.1427922870156246</v>
      </c>
      <c r="AA47" s="195">
        <f ca="1">Commodity!AE67*(1+$C$20+$C$21)*$F$5+$G23*AA$31*$F$6*(1+$C$20+$C$21)+($C$18*AA$32+$C$19*AA$33)*$F$7+$C$19*AA$34*$F$8+$C$19*AA$35*$F$9</f>
        <v>4.4036459973909921</v>
      </c>
      <c r="AB47" s="195">
        <f ca="1">Commodity!AF67*(1+$C$20+$C$21)*$F$5+$G23*AB$31*$F$6*(1+$C$20+$C$21)+($C$18*AB$32+$C$19*AB$33)*$F$7+$C$19*AB$34*$F$8+$C$19*AB$35*$F$9</f>
        <v>4.6823307992921679</v>
      </c>
      <c r="AC47" s="195">
        <f ca="1">Commodity!AG67*(1+$C$20+$C$21)*$F$5+$G23*AC$31*$F$6*(1+$C$20+$C$21)+($C$18*AC$32+$C$19*AC$33)*$F$7+$C$19*AC$34*$F$8+$C$19*AC$35*$F$9</f>
        <v>4.980188185171615</v>
      </c>
      <c r="AD47" s="195">
        <f ca="1">Commodity!AH67*(1+$C$20+$C$21)*$F$5+$G23*AD$31*$F$6*(1+$C$20+$C$21)+($C$18*AD$32+$C$19*AD$33)*$F$7+$C$19*AD$34*$F$8+$C$19*AD$35*$F$9</f>
        <v>5.2986605724306326</v>
      </c>
      <c r="AE47" s="195">
        <f ca="1">Commodity!AI67*(1+$C$20+$C$21)*$F$5+$G23*AE$31*$F$6*(1+$C$20+$C$21)+($C$18*AE$32+$C$19*AE$33)*$F$7+$C$19*AE$34*$F$8+$C$19*AE$35*$F$9</f>
        <v>5.63929889633968</v>
      </c>
      <c r="AF47" s="195">
        <f ca="1">Commodity!AJ67*(1+$C$20+$C$21)*$F$5+$G23*AF$31*$F$6*(1+$C$20+$C$21)+($C$18*AF$32+$C$19*AF$33)*$F$7+$C$19*AF$34*$F$8+$C$19*AF$35*$F$9</f>
        <v>6.0037707741993867</v>
      </c>
      <c r="AG47" s="195">
        <f ca="1">Commodity!AK67*(1+$C$20+$C$21)*$F$5+$G23*AG$31*$F$6*(1+$C$20+$C$21)+($C$18*AG$32+$C$19*AG$33)*$F$7+$C$19*AG$34*$F$8+$C$19*AG$35*$F$9</f>
        <v>6.3938692837186455</v>
      </c>
      <c r="AH47" s="195">
        <f ca="1">Commodity!AL67*(1+$C$20+$C$21)*$F$5+$G23*AH$31*$F$6*(1+$C$20+$C$21)+($C$18*AH$32+$C$19*AH$33)*$F$7+$C$19*AH$34*$F$8+$C$19*AH$35*$F$9</f>
        <v>6.811522401819313</v>
      </c>
      <c r="AI47" s="195">
        <f ca="1">Commodity!AM67*(1+$C$20+$C$21)*$F$5+$G23*AI$31*$F$6*(1+$C$20+$C$21)+($C$18*AI$32+$C$19*AI$33)*$F$7+$C$19*AI$34*$F$8+$C$19*AI$35*$F$9</f>
        <v>7.2588031535536546</v>
      </c>
      <c r="AJ47" s="195">
        <f ca="1">Commodity!AN67*(1+$C$20+$C$21)*$F$5+$G23*AJ$31*$F$6*(1+$C$20+$C$21)+($C$18*AJ$32+$C$19*AJ$33)*$F$7+$C$19*AJ$34*$F$8+$C$19*AJ$35*$F$9</f>
        <v>7.7379405245587183</v>
      </c>
    </row>
    <row r="48" spans="1:36">
      <c r="A48" t="s">
        <v>12</v>
      </c>
      <c r="B48" s="33">
        <f t="shared" ca="1" si="4"/>
        <v>2.3388098073838726</v>
      </c>
      <c r="C48" s="33"/>
      <c r="D48" s="195">
        <f ca="1">Commodity!H68*(1+$C$20+$C$21)*$F$5+$G24*D$31*$F$6*(1+$C$20+$C$21)+($C$18*D$32+$C$19*D$33)*$F$7+$C$19*D$34*$F$8+$C$19*D$35*$F$9</f>
        <v>1.1296485303625672</v>
      </c>
      <c r="E48" s="195">
        <f ca="1">Commodity!I68*(1+$C$20+$C$21)*$F$5+$G24*E$31*$F$6*(1+$C$20+$C$21)+($C$18*E$32+$C$19*E$33)*$F$7+$C$19*E$34*$F$8+$C$19*E$35*$F$9</f>
        <v>1.1981563155964372</v>
      </c>
      <c r="F48" s="195">
        <f ca="1">Commodity!J68*(1+$C$20+$C$21)*$F$5+$G24*F$31*$F$6*(1+$C$20+$C$21)+($C$18*F$32+$C$19*F$33)*$F$7+$C$19*F$34*$F$8+$C$19*F$35*$F$9</f>
        <v>1.2720620720825313</v>
      </c>
      <c r="G48" s="195">
        <f ca="1">Commodity!K68*(1+$C$20+$C$21)*$F$5+$G24*G$31*$F$6*(1+$C$20+$C$21)+($C$18*G$32+$C$19*G$33)*$F$7+$C$19*G$34*$F$8+$C$19*G$35*$F$9</f>
        <v>1.3506892300913678</v>
      </c>
      <c r="H48" s="195">
        <f ca="1">Commodity!L68*(1+$C$20+$C$21)*$F$5+$G24*H$31*$F$6*(1+$C$20+$C$21)+($C$18*H$32+$C$19*H$33)*$F$7+$C$19*H$34*$F$8+$C$19*H$35*$F$9</f>
        <v>1.4295851612580905</v>
      </c>
      <c r="I48" s="195">
        <f ca="1">Commodity!M68*(1+$C$20+$C$21)*$F$5+$G24*I$31*$F$6*(1+$C$20+$C$21)+($C$18*I$32+$C$19*I$33)*$F$7+$C$19*I$34*$F$8+$C$19*I$35*$F$9</f>
        <v>1.5148577580071443</v>
      </c>
      <c r="J48" s="195">
        <f ca="1">Commodity!N68*(1+$C$20+$C$21)*$F$5+$G24*J$31*$F$6*(1+$C$20+$C$21)+($C$18*J$32+$C$19*J$33)*$F$7+$C$19*J$34*$F$8+$C$19*J$35*$F$9</f>
        <v>1.6059413402215481</v>
      </c>
      <c r="K48" s="195">
        <f ca="1">Commodity!O68*(1+$C$20+$C$21)*$F$5+$G24*K$31*$F$6*(1+$C$20+$C$21)+($C$18*K$32+$C$19*K$33)*$F$7+$C$19*K$34*$F$8+$C$19*K$35*$F$9</f>
        <v>1.7029488139068352</v>
      </c>
      <c r="L48" s="195">
        <f ca="1">Commodity!P68*(1+$C$20+$C$21)*$F$5+$G24*L$31*$F$6*(1+$C$20+$C$21)+($C$18*L$32+$C$19*L$33)*$F$7+$C$19*L$34*$F$8+$C$19*L$35*$F$9</f>
        <v>1.8063962417802404</v>
      </c>
      <c r="M48" s="195">
        <f ca="1">Commodity!Q68*(1+$C$20+$C$21)*$F$5+$G24*M$31*$F$6*(1+$C$20+$C$21)+($C$18*M$32+$C$19*M$33)*$F$7+$C$19*M$34*$F$8+$C$19*M$35*$F$9</f>
        <v>1.916693176635951</v>
      </c>
      <c r="N48" s="195">
        <f ca="1">Commodity!R68*(1+$C$20+$C$21)*$F$5+$G24*N$31*$F$6*(1+$C$20+$C$21)+($C$18*N$32+$C$19*N$33)*$F$7+$C$19*N$34*$F$8+$C$19*N$35*$F$9</f>
        <v>2.0324304776116966</v>
      </c>
      <c r="O48" s="195">
        <f ca="1">Commodity!S68*(1+$C$20+$C$21)*$F$5+$G24*O$31*$F$6*(1+$C$20+$C$21)+($C$18*O$32+$C$19*O$33)*$F$7+$C$19*O$34*$F$8+$C$19*O$35*$F$9</f>
        <v>2.154225965116626</v>
      </c>
      <c r="P48" s="195">
        <f ca="1">Commodity!T68*(1+$C$20+$C$21)*$F$5+$G24*P$31*$F$6*(1+$C$20+$C$21)+($C$18*P$32+$C$19*P$33)*$F$7+$C$19*P$34*$F$8+$C$19*P$35*$F$9</f>
        <v>2.2837465922639741</v>
      </c>
      <c r="Q48" s="195">
        <f ca="1">Commodity!U68*(1+$C$20+$C$21)*$F$5+$G24*Q$31*$F$6*(1+$C$20+$C$21)+($C$18*Q$32+$C$19*Q$33)*$F$7+$C$19*Q$34*$F$8+$C$19*Q$35*$F$9</f>
        <v>2.421798775818806</v>
      </c>
      <c r="R48" s="195">
        <f ca="1">Commodity!V68*(1+$C$20+$C$21)*$F$5+$G24*R$31*$F$6*(1+$C$20+$C$21)+($C$18*R$32+$C$19*R$33)*$F$7+$C$19*R$34*$F$8+$C$19*R$35*$F$9</f>
        <v>2.5688876751937082</v>
      </c>
      <c r="S48" s="195">
        <f ca="1">Commodity!W68*(1+$C$20+$C$21)*$F$5+$G24*S$31*$F$6*(1+$C$20+$C$21)+($C$18*S$32+$C$19*S$33)*$F$7+$C$19*S$34*$F$8+$C$19*S$35*$F$9</f>
        <v>2.7257388940579901</v>
      </c>
      <c r="T48" s="195">
        <f ca="1">Commodity!X68*(1+$C$20+$C$21)*$F$5+$G24*T$31*$F$6*(1+$C$20+$C$21)+($C$18*T$32+$C$19*T$33)*$F$7+$C$19*T$34*$F$8+$C$19*T$35*$F$9</f>
        <v>2.8922506583764802</v>
      </c>
      <c r="U48" s="195">
        <f ca="1">Commodity!Y68*(1+$C$20+$C$21)*$F$5+$G24*U$31*$F$6*(1+$C$20+$C$21)+($C$18*U$32+$C$19*U$33)*$F$7+$C$19*U$34*$F$8+$C$19*U$35*$F$9</f>
        <v>3.0695738956075793</v>
      </c>
      <c r="V48" s="195">
        <f ca="1">Commodity!Z68*(1+$C$20+$C$21)*$F$5+$G24*V$31*$F$6*(1+$C$20+$C$21)+($C$18*V$32+$C$19*V$33)*$F$7+$C$19*V$34*$F$8+$C$19*V$35*$F$9</f>
        <v>3.2584359585150664</v>
      </c>
      <c r="W48" s="195">
        <f ca="1">Commodity!AA68*(1+$C$20+$C$21)*$F$5+$G24*W$31*$F$6*(1+$C$20+$C$21)+($C$18*W$32+$C$19*W$33)*$F$7+$C$19*W$34*$F$8+$C$19*W$35*$F$9</f>
        <v>3.4597049514173226</v>
      </c>
      <c r="X48" s="195">
        <f ca="1">Commodity!AB68*(1+$C$20+$C$21)*$F$5+$G24*X$31*$F$6*(1+$C$20+$C$21)+($C$18*X$32+$C$19*X$33)*$F$7+$C$19*X$34*$F$8+$C$19*X$35*$F$9</f>
        <v>3.6743142890142968</v>
      </c>
      <c r="Y48" s="195">
        <f ca="1">Commodity!AC68*(1+$C$20+$C$21)*$F$5+$G24*Y$31*$F$6*(1+$C$20+$C$21)+($C$18*Y$32+$C$19*Y$33)*$F$7+$C$19*Y$34*$F$8+$C$19*Y$35*$F$9</f>
        <v>3.9032676099051873</v>
      </c>
      <c r="Z48" s="195">
        <f ca="1">Commodity!AD68*(1+$C$20+$C$21)*$F$5+$G24*Z$31*$F$6*(1+$C$20+$C$21)+($C$18*Z$32+$C$19*Z$33)*$F$7+$C$19*Z$34*$F$8+$C$19*Z$35*$F$9</f>
        <v>4.147644059766467</v>
      </c>
      <c r="AA48" s="195">
        <f ca="1">Commodity!AE68*(1+$C$20+$C$21)*$F$5+$G24*AA$31*$F$6*(1+$C$20+$C$21)+($C$18*AA$32+$C$19*AA$33)*$F$7+$C$19*AA$34*$F$8+$C$19*AA$35*$F$9</f>
        <v>4.4086039720010106</v>
      </c>
      <c r="AB48" s="195">
        <f ca="1">Commodity!AF68*(1+$C$20+$C$21)*$F$5+$G24*AB$31*$F$6*(1+$C$20+$C$21)+($C$18*AB$32+$C$19*AB$33)*$F$7+$C$19*AB$34*$F$8+$C$19*AB$35*$F$9</f>
        <v>4.6873949757613662</v>
      </c>
      <c r="AC48" s="195">
        <f ca="1">Commodity!AG68*(1+$C$20+$C$21)*$F$5+$G24*AC$31*$F$6*(1+$C$20+$C$21)+($C$18*AC$32+$C$19*AC$33)*$F$7+$C$19*AC$34*$F$8+$C$19*AC$35*$F$9</f>
        <v>4.9853585634999895</v>
      </c>
      <c r="AD48" s="195">
        <f ca="1">Commodity!AH68*(1+$C$20+$C$21)*$F$5+$G24*AD$31*$F$6*(1+$C$20+$C$21)+($C$18*AD$32+$C$19*AD$33)*$F$7+$C$19*AD$34*$F$8+$C$19*AD$35*$F$9</f>
        <v>5.3039371526181904</v>
      </c>
      <c r="AE48" s="195">
        <f ca="1">Commodity!AI68*(1+$C$20+$C$21)*$F$5+$G24*AE$31*$F$6*(1+$C$20+$C$21)+($C$18*AE$32+$C$19*AE$33)*$F$7+$C$19*AE$34*$F$8+$C$19*AE$35*$F$9</f>
        <v>5.644681678386414</v>
      </c>
      <c r="AF48" s="195">
        <f ca="1">Commodity!AJ68*(1+$C$20+$C$21)*$F$5+$G24*AF$31*$F$6*(1+$C$20+$C$21)+($C$18*AF$32+$C$19*AF$33)*$F$7+$C$19*AF$34*$F$8+$C$19*AF$35*$F$9</f>
        <v>6.0092597581053004</v>
      </c>
      <c r="AG48" s="195">
        <f ca="1">Commodity!AK68*(1+$C$20+$C$21)*$F$5+$G24*AG$31*$F$6*(1+$C$20+$C$21)+($C$18*AG$32+$C$19*AG$33)*$F$7+$C$19*AG$34*$F$8+$C$19*AG$35*$F$9</f>
        <v>6.399464469483739</v>
      </c>
      <c r="AH48" s="195">
        <f ca="1">Commodity!AL68*(1+$C$20+$C$21)*$F$5+$G24*AH$31*$F$6*(1+$C$20+$C$21)+($C$18*AH$32+$C$19*AH$33)*$F$7+$C$19*AH$34*$F$8+$C$19*AH$35*$F$9</f>
        <v>6.8172237894435836</v>
      </c>
      <c r="AI48" s="195">
        <f ca="1">Commodity!AM68*(1+$C$20+$C$21)*$F$5+$G24*AI$31*$F$6*(1+$C$20+$C$21)+($C$18*AI$32+$C$19*AI$33)*$F$7+$C$19*AI$34*$F$8+$C$19*AI$35*$F$9</f>
        <v>7.2646107430371076</v>
      </c>
      <c r="AJ48" s="195">
        <f ca="1">Commodity!AN68*(1+$C$20+$C$21)*$F$5+$G24*AJ$31*$F$6*(1+$C$20+$C$21)+($C$18*AJ$32+$C$19*AJ$33)*$F$7+$C$19*AJ$34*$F$8+$C$19*AJ$35*$F$9</f>
        <v>7.7438543159013484</v>
      </c>
    </row>
    <row r="49" spans="1:36">
      <c r="A49" t="s">
        <v>13</v>
      </c>
      <c r="B49" s="33">
        <f t="shared" ca="1" si="4"/>
        <v>2.2962240762940223</v>
      </c>
      <c r="C49" s="33"/>
      <c r="D49" s="195">
        <f ca="1">Commodity!H69*(1+$C$20+$C$21)*$F$5+$G25*D$31*$F$6*(1+$C$20+$C$21)+($C$18*D$32+$C$19*D$33)*$F$7+$C$19*D$34*$F$8+$C$19*D$35*$F$9</f>
        <v>1.0964354939851724</v>
      </c>
      <c r="E49" s="195">
        <f ca="1">Commodity!I69*(1+$C$20+$C$21)*$F$5+$G25*E$31*$F$6*(1+$C$20+$C$21)+($C$18*E$32+$C$19*E$33)*$F$7+$C$19*E$34*$F$8+$C$19*E$35*$F$9</f>
        <v>1.163867968528471</v>
      </c>
      <c r="F49" s="195">
        <f ca="1">Commodity!J69*(1+$C$20+$C$21)*$F$5+$G25*F$31*$F$6*(1+$C$20+$C$21)+($C$18*F$32+$C$19*F$33)*$F$7+$C$19*F$34*$F$8+$C$19*F$35*$F$9</f>
        <v>1.2370945444169095</v>
      </c>
      <c r="G49" s="195">
        <f ca="1">Commodity!K69*(1+$C$20+$C$21)*$F$5+$G25*G$31*$F$6*(1+$C$20+$C$21)+($C$18*G$32+$C$19*G$33)*$F$7+$C$19*G$34*$F$8+$C$19*G$35*$F$9</f>
        <v>1.3147682178665703</v>
      </c>
      <c r="H49" s="195">
        <f ca="1">Commodity!L69*(1+$C$20+$C$21)*$F$5+$G25*H$31*$F$6*(1+$C$20+$C$21)+($C$18*H$32+$C$19*H$33)*$F$7+$C$19*H$34*$F$8+$C$19*H$35*$F$9</f>
        <v>1.3928706604921171</v>
      </c>
      <c r="I49" s="195">
        <f ca="1">Commodity!M69*(1+$C$20+$C$21)*$F$5+$G25*I$31*$F$6*(1+$C$20+$C$21)+($C$18*I$32+$C$19*I$33)*$F$7+$C$19*I$34*$F$8+$C$19*I$35*$F$9</f>
        <v>1.4774576487194124</v>
      </c>
      <c r="J49" s="195">
        <f ca="1">Commodity!N69*(1+$C$20+$C$21)*$F$5+$G25*J$31*$F$6*(1+$C$20+$C$21)+($C$18*J$32+$C$19*J$33)*$F$7+$C$19*J$34*$F$8+$C$19*J$35*$F$9</f>
        <v>1.567682415666201</v>
      </c>
      <c r="K49" s="195">
        <f ca="1">Commodity!O69*(1+$C$20+$C$21)*$F$5+$G25*K$31*$F$6*(1+$C$20+$C$21)+($C$18*K$32+$C$19*K$33)*$F$7+$C$19*K$34*$F$8+$C$19*K$35*$F$9</f>
        <v>1.6637729373589953</v>
      </c>
      <c r="L49" s="195">
        <f ca="1">Commodity!P69*(1+$C$20+$C$21)*$F$5+$G25*L$31*$F$6*(1+$C$20+$C$21)+($C$18*L$32+$C$19*L$33)*$F$7+$C$19*L$34*$F$8+$C$19*L$35*$F$9</f>
        <v>1.7662415900359603</v>
      </c>
      <c r="M49" s="195">
        <f ca="1">Commodity!Q69*(1+$C$20+$C$21)*$F$5+$G25*M$31*$F$6*(1+$C$20+$C$21)+($C$18*M$32+$C$19*M$33)*$F$7+$C$19*M$34*$F$8+$C$19*M$35*$F$9</f>
        <v>1.8754574274691811</v>
      </c>
      <c r="N49" s="195">
        <f ca="1">Commodity!R69*(1+$C$20+$C$21)*$F$5+$G25*N$31*$F$6*(1+$C$20+$C$21)+($C$18*N$32+$C$19*N$33)*$F$7+$C$19*N$34*$F$8+$C$19*N$35*$F$9</f>
        <v>1.9900287115739528</v>
      </c>
      <c r="O49" s="195">
        <f ca="1">Commodity!S69*(1+$C$20+$C$21)*$F$5+$G25*O$31*$F$6*(1+$C$20+$C$21)+($C$18*O$32+$C$19*O$33)*$F$7+$C$19*O$34*$F$8+$C$19*O$35*$F$9</f>
        <v>2.1109067964257089</v>
      </c>
      <c r="P49" s="195">
        <f ca="1">Commodity!T69*(1+$C$20+$C$21)*$F$5+$G25*P$31*$F$6*(1+$C$20+$C$21)+($C$18*P$32+$C$19*P$33)*$F$7+$C$19*P$34*$F$8+$C$19*P$35*$F$9</f>
        <v>2.2394863417155846</v>
      </c>
      <c r="Q49" s="195">
        <f ca="1">Commodity!U69*(1+$C$20+$C$21)*$F$5+$G25*Q$31*$F$6*(1+$C$20+$C$21)+($C$18*Q$32+$C$19*Q$33)*$F$7+$C$19*Q$34*$F$8+$C$19*Q$35*$F$9</f>
        <v>2.3765613450784149</v>
      </c>
      <c r="R49" s="195">
        <f ca="1">Commodity!V69*(1+$C$20+$C$21)*$F$5+$G25*R$31*$F$6*(1+$C$20+$C$21)+($C$18*R$32+$C$19*R$33)*$F$7+$C$19*R$34*$F$8+$C$19*R$35*$F$9</f>
        <v>2.5226273005620645</v>
      </c>
      <c r="S49" s="195">
        <f ca="1">Commodity!W69*(1+$C$20+$C$21)*$F$5+$G25*S$31*$F$6*(1+$C$20+$C$21)+($C$18*S$32+$C$19*S$33)*$F$7+$C$19*S$34*$F$8+$C$19*S$35*$F$9</f>
        <v>2.6784238000637268</v>
      </c>
      <c r="T49" s="195">
        <f ca="1">Commodity!X69*(1+$C$20+$C$21)*$F$5+$G25*T$31*$F$6*(1+$C$20+$C$21)+($C$18*T$32+$C$19*T$33)*$F$7+$C$19*T$34*$F$8+$C$19*T$35*$F$9</f>
        <v>2.8439020286671712</v>
      </c>
      <c r="U49" s="195">
        <f ca="1">Commodity!Y69*(1+$C$20+$C$21)*$F$5+$G25*U$31*$F$6*(1+$C$20+$C$21)+($C$18*U$32+$C$19*U$33)*$F$7+$C$19*U$34*$F$8+$C$19*U$35*$F$9</f>
        <v>3.0201864342713343</v>
      </c>
      <c r="V49" s="195">
        <f ca="1">Commodity!Z69*(1+$C$20+$C$21)*$F$5+$G25*V$31*$F$6*(1+$C$20+$C$21)+($C$18*V$32+$C$19*V$33)*$F$7+$C$19*V$34*$F$8+$C$19*V$35*$F$9</f>
        <v>3.208009665551887</v>
      </c>
      <c r="W49" s="195">
        <f ca="1">Commodity!AA69*(1+$C$20+$C$21)*$F$5+$G25*W$31*$F$6*(1+$C$20+$C$21)+($C$18*W$32+$C$19*W$33)*$F$7+$C$19*W$34*$F$8+$C$19*W$35*$F$9</f>
        <v>3.4082398268272067</v>
      </c>
      <c r="X49" s="195">
        <f ca="1">Commodity!AB69*(1+$C$20+$C$21)*$F$5+$G25*X$31*$F$6*(1+$C$20+$C$21)+($C$18*X$32+$C$19*X$33)*$F$7+$C$19*X$34*$F$8+$C$19*X$35*$F$9</f>
        <v>3.6218103327972475</v>
      </c>
      <c r="Y49" s="195">
        <f ca="1">Commodity!AC69*(1+$C$20+$C$21)*$F$5+$G25*Y$31*$F$6*(1+$C$20+$C$21)+($C$18*Y$32+$C$19*Y$33)*$F$7+$C$19*Y$34*$F$8+$C$19*Y$35*$F$9</f>
        <v>3.8497248220611979</v>
      </c>
      <c r="Z49" s="195">
        <f ca="1">Commodity!AD69*(1+$C$20+$C$21)*$F$5+$G25*Z$31*$F$6*(1+$C$20+$C$21)+($C$18*Z$32+$C$19*Z$33)*$F$7+$C$19*Z$34*$F$8+$C$19*Z$35*$F$9</f>
        <v>4.0930624402955411</v>
      </c>
      <c r="AA49" s="195">
        <f ca="1">Commodity!AE69*(1+$C$20+$C$21)*$F$5+$G25*AA$31*$F$6*(1+$C$20+$C$21)+($C$18*AA$32+$C$19*AA$33)*$F$7+$C$19*AA$34*$F$8+$C$19*AA$35*$F$9</f>
        <v>4.3529835209031509</v>
      </c>
      <c r="AB49" s="195">
        <f ca="1">Commodity!AF69*(1+$C$20+$C$21)*$F$5+$G25*AB$31*$F$6*(1+$C$20+$C$21)+($C$18*AB$32+$C$19*AB$33)*$F$7+$C$19*AB$34*$F$8+$C$19*AB$35*$F$9</f>
        <v>4.6307356930365708</v>
      </c>
      <c r="AC49" s="195">
        <f ca="1">Commodity!AG69*(1+$C$20+$C$21)*$F$5+$G25*AC$31*$F$6*(1+$C$20+$C$21)+($C$18*AC$32+$C$19*AC$33)*$F$7+$C$19*AC$34*$F$8+$C$19*AC$35*$F$9</f>
        <v>4.9276604491482594</v>
      </c>
      <c r="AD49" s="195">
        <f ca="1">Commodity!AH69*(1+$C$20+$C$21)*$F$5+$G25*AD$31*$F$6*(1+$C$20+$C$21)+($C$18*AD$32+$C$19*AD$33)*$F$7+$C$19*AD$34*$F$8+$C$19*AD$35*$F$9</f>
        <v>5.2452002066395211</v>
      </c>
      <c r="AE49" s="195">
        <f ca="1">Commodity!AI69*(1+$C$20+$C$21)*$F$5+$G25*AE$31*$F$6*(1+$C$20+$C$21)+($C$18*AE$32+$C$19*AE$33)*$F$7+$C$19*AE$34*$F$8+$C$19*AE$35*$F$9</f>
        <v>5.5849059007808108</v>
      </c>
      <c r="AF49" s="195">
        <f ca="1">Commodity!AJ69*(1+$C$20+$C$21)*$F$5+$G25*AF$31*$F$6*(1+$C$20+$C$21)+($C$18*AF$32+$C$19*AF$33)*$F$7+$C$19*AF$34*$F$8+$C$19*AF$35*$F$9</f>
        <v>5.9484451488727608</v>
      </c>
      <c r="AG49" s="195">
        <f ca="1">Commodity!AK69*(1+$C$20+$C$21)*$F$5+$G25*AG$31*$F$6*(1+$C$20+$C$21)+($C$18*AG$32+$C$19*AG$33)*$F$7+$C$19*AG$34*$F$8+$C$19*AG$35*$F$9</f>
        <v>6.337611028624262</v>
      </c>
      <c r="AH49" s="195">
        <f ca="1">Commodity!AL69*(1+$C$20+$C$21)*$F$5+$G25*AH$31*$F$6*(1+$C$20+$C$21)+($C$18*AH$32+$C$19*AH$33)*$F$7+$C$19*AH$34*$F$8+$C$19*AH$35*$F$9</f>
        <v>6.7543315169571736</v>
      </c>
      <c r="AI49" s="195">
        <f ca="1">Commodity!AM69*(1+$C$20+$C$21)*$F$5+$G25*AI$31*$F$6*(1+$C$20+$C$21)+($C$18*AI$32+$C$19*AI$33)*$F$7+$C$19*AI$34*$F$8+$C$19*AI$35*$F$9</f>
        <v>7.2006796389237575</v>
      </c>
      <c r="AJ49" s="195">
        <f ca="1">Commodity!AN69*(1+$C$20+$C$21)*$F$5+$G25*AJ$31*$F$6*(1+$C$20+$C$21)+($C$18*AJ$32+$C$19*AJ$33)*$F$7+$C$19*AJ$34*$F$8+$C$19*AJ$35*$F$9</f>
        <v>7.6788843801610653</v>
      </c>
    </row>
    <row r="50" spans="1:36">
      <c r="A50" t="s">
        <v>14</v>
      </c>
      <c r="B50" s="33">
        <f t="shared" ca="1" si="4"/>
        <v>2.3005193342595769</v>
      </c>
      <c r="C50" s="33"/>
      <c r="D50" s="195">
        <f ca="1">Commodity!H70*(1+$C$20+$C$21)*$F$5+$G26*D$31*$F$6*(1+$C$20+$C$21)+($C$18*D$32+$C$19*D$33)*$F$7+$C$19*D$34*$F$8+$C$19*D$35*$F$9</f>
        <v>1.0999631275921546</v>
      </c>
      <c r="E50" s="195">
        <f ca="1">Commodity!I70*(1+$C$20+$C$21)*$F$5+$G26*E$31*$F$6*(1+$C$20+$C$21)+($C$18*E$32+$C$19*E$33)*$F$7+$C$19*E$34*$F$8+$C$19*E$35*$F$9</f>
        <v>1.1671920607766308</v>
      </c>
      <c r="F50" s="195">
        <f ca="1">Commodity!J70*(1+$C$20+$C$21)*$F$5+$G26*F$31*$F$6*(1+$C$20+$C$21)+($C$18*F$32+$C$19*F$33)*$F$7+$C$19*F$34*$F$8+$C$19*F$35*$F$9</f>
        <v>1.2406817818339655</v>
      </c>
      <c r="G50" s="195">
        <f ca="1">Commodity!K70*(1+$C$20+$C$21)*$F$5+$G26*G$31*$F$6*(1+$C$20+$C$21)+($C$18*G$32+$C$19*G$33)*$F$7+$C$19*G$34*$F$8+$C$19*G$35*$F$9</f>
        <v>1.3182966268249356</v>
      </c>
      <c r="H50" s="195">
        <f ca="1">Commodity!L70*(1+$C$20+$C$21)*$F$5+$G26*H$31*$F$6*(1+$C$20+$C$21)+($C$18*H$32+$C$19*H$33)*$F$7+$C$19*H$34*$F$8+$C$19*H$35*$F$9</f>
        <v>1.3964093020142307</v>
      </c>
      <c r="I50" s="195">
        <f ca="1">Commodity!M70*(1+$C$20+$C$21)*$F$5+$G26*I$31*$F$6*(1+$C$20+$C$21)+($C$18*I$32+$C$19*I$33)*$F$7+$C$19*I$34*$F$8+$C$19*I$35*$F$9</f>
        <v>1.481186966860413</v>
      </c>
      <c r="J50" s="195">
        <f ca="1">Commodity!N70*(1+$C$20+$C$21)*$F$5+$G26*J$31*$F$6*(1+$C$20+$C$21)+($C$18*J$32+$C$19*J$33)*$F$7+$C$19*J$34*$F$8+$C$19*J$35*$F$9</f>
        <v>1.5715231814639083</v>
      </c>
      <c r="K50" s="195">
        <f ca="1">Commodity!O70*(1+$C$20+$C$21)*$F$5+$G26*K$31*$F$6*(1+$C$20+$C$21)+($C$18*K$32+$C$19*K$33)*$F$7+$C$19*K$34*$F$8+$C$19*K$35*$F$9</f>
        <v>1.6677382633109052</v>
      </c>
      <c r="L50" s="195">
        <f ca="1">Commodity!P70*(1+$C$20+$C$21)*$F$5+$G26*L$31*$F$6*(1+$C$20+$C$21)+($C$18*L$32+$C$19*L$33)*$F$7+$C$19*L$34*$F$8+$C$19*L$35*$F$9</f>
        <v>1.7703532668177913</v>
      </c>
      <c r="M50" s="195">
        <f ca="1">Commodity!Q70*(1+$C$20+$C$21)*$F$5+$G26*M$31*$F$6*(1+$C$20+$C$21)+($C$18*M$32+$C$19*M$33)*$F$7+$C$19*M$34*$F$8+$C$19*M$35*$F$9</f>
        <v>1.8796949187645491</v>
      </c>
      <c r="N50" s="195">
        <f ca="1">Commodity!R70*(1+$C$20+$C$21)*$F$5+$G26*N$31*$F$6*(1+$C$20+$C$21)+($C$18*N$32+$C$19*N$33)*$F$7+$C$19*N$34*$F$8+$C$19*N$35*$F$9</f>
        <v>1.9942043612259606</v>
      </c>
      <c r="O50" s="195">
        <f ca="1">Commodity!S70*(1+$C$20+$C$21)*$F$5+$G26*O$31*$F$6*(1+$C$20+$C$21)+($C$18*O$32+$C$19*O$33)*$F$7+$C$19*O$34*$F$8+$C$19*O$35*$F$9</f>
        <v>2.1151858594287338</v>
      </c>
      <c r="P50" s="195">
        <f ca="1">Commodity!T70*(1+$C$20+$C$21)*$F$5+$G26*P$31*$F$6*(1+$C$20+$C$21)+($C$18*P$32+$C$19*P$33)*$F$7+$C$19*P$34*$F$8+$C$19*P$35*$F$9</f>
        <v>2.2438703347949263</v>
      </c>
      <c r="Q50" s="195">
        <f ca="1">Commodity!U70*(1+$C$20+$C$21)*$F$5+$G26*Q$31*$F$6*(1+$C$20+$C$21)+($C$18*Q$32+$C$19*Q$33)*$F$7+$C$19*Q$34*$F$8+$C$19*Q$35*$F$9</f>
        <v>2.3810634323181432</v>
      </c>
      <c r="R50" s="195">
        <f ca="1">Commodity!V70*(1+$C$20+$C$21)*$F$5+$G26*R$31*$F$6*(1+$C$20+$C$21)+($C$18*R$32+$C$19*R$33)*$F$7+$C$19*R$34*$F$8+$C$19*R$35*$F$9</f>
        <v>2.5272409784677863</v>
      </c>
      <c r="S50" s="195">
        <f ca="1">Commodity!W70*(1+$C$20+$C$21)*$F$5+$G26*S$31*$F$6*(1+$C$20+$C$21)+($C$18*S$32+$C$19*S$33)*$F$7+$C$19*S$34*$F$8+$C$19*S$35*$F$9</f>
        <v>2.6831643782818619</v>
      </c>
      <c r="T50" s="195">
        <f ca="1">Commodity!X70*(1+$C$20+$C$21)*$F$5+$G26*T$31*$F$6*(1+$C$20+$C$21)+($C$18*T$32+$C$19*T$33)*$F$7+$C$19*T$34*$F$8+$C$19*T$35*$F$9</f>
        <v>2.8487593007667749</v>
      </c>
      <c r="U50" s="195">
        <f ca="1">Commodity!Y70*(1+$C$20+$C$21)*$F$5+$G26*U$31*$F$6*(1+$C$20+$C$21)+($C$18*U$32+$C$19*U$33)*$F$7+$C$19*U$34*$F$8+$C$19*U$35*$F$9</f>
        <v>3.0251629518601413</v>
      </c>
      <c r="V50" s="195">
        <f ca="1">Commodity!Z70*(1+$C$20+$C$21)*$F$5+$G26*V$31*$F$6*(1+$C$20+$C$21)+($C$18*V$32+$C$19*V$33)*$F$7+$C$19*V$34*$F$8+$C$19*V$35*$F$9</f>
        <v>3.2131054286298979</v>
      </c>
      <c r="W50" s="195">
        <f ca="1">Commodity!AA70*(1+$C$20+$C$21)*$F$5+$G26*W$31*$F$6*(1+$C$20+$C$21)+($C$18*W$32+$C$19*W$33)*$F$7+$C$19*W$34*$F$8+$C$19*W$35*$F$9</f>
        <v>3.4134548353944205</v>
      </c>
      <c r="X50" s="195">
        <f ca="1">Commodity!AB70*(1+$C$20+$C$21)*$F$5+$G26*X$31*$F$6*(1+$C$20+$C$21)+($C$18*X$32+$C$19*X$33)*$F$7+$C$19*X$34*$F$8+$C$19*X$35*$F$9</f>
        <v>3.627144586853662</v>
      </c>
      <c r="Y50" s="195">
        <f ca="1">Commodity!AC70*(1+$C$20+$C$21)*$F$5+$G26*Y$31*$F$6*(1+$C$20+$C$21)+($C$18*Y$32+$C$19*Y$33)*$F$7+$C$19*Y$34*$F$8+$C$19*Y$35*$F$9</f>
        <v>3.8551783216068189</v>
      </c>
      <c r="Z50" s="195">
        <f ca="1">Commodity!AD70*(1+$C$20+$C$21)*$F$5+$G26*Z$31*$F$6*(1+$C$20+$C$21)+($C$18*Z$32+$C$19*Z$33)*$F$7+$C$19*Z$34*$F$8+$C$19*Z$35*$F$9</f>
        <v>4.0986351853303651</v>
      </c>
      <c r="AA50" s="195">
        <f ca="1">Commodity!AE70*(1+$C$20+$C$21)*$F$5+$G26*AA$31*$F$6*(1+$C$20+$C$21)+($C$18*AA$32+$C$19*AA$33)*$F$7+$C$19*AA$34*$F$8+$C$19*AA$35*$F$9</f>
        <v>4.358675511427176</v>
      </c>
      <c r="AB50" s="195">
        <f ca="1">Commodity!AF70*(1+$C$20+$C$21)*$F$5+$G26*AB$31*$F$6*(1+$C$20+$C$21)+($C$18*AB$32+$C$19*AB$33)*$F$7+$C$19*AB$34*$F$8+$C$19*AB$35*$F$9</f>
        <v>4.6365469290498016</v>
      </c>
      <c r="AC50" s="195">
        <f ca="1">Commodity!AG70*(1+$C$20+$C$21)*$F$5+$G26*AC$31*$F$6*(1+$C$20+$C$21)+($C$18*AC$32+$C$19*AC$33)*$F$7+$C$19*AC$34*$F$8+$C$19*AC$35*$F$9</f>
        <v>4.9335909306506913</v>
      </c>
      <c r="AD50" s="195">
        <f ca="1">Commodity!AH70*(1+$C$20+$C$21)*$F$5+$G26*AD$31*$F$6*(1+$C$20+$C$21)+($C$18*AD$32+$C$19*AD$33)*$F$7+$C$19*AD$34*$F$8+$C$19*AD$35*$F$9</f>
        <v>5.251249933631156</v>
      </c>
      <c r="AE50" s="195">
        <f ca="1">Commodity!AI70*(1+$C$20+$C$21)*$F$5+$G26*AE$31*$F$6*(1+$C$20+$C$21)+($C$18*AE$32+$C$19*AE$33)*$F$7+$C$19*AE$34*$F$8+$C$19*AE$35*$F$9</f>
        <v>5.5910748732616495</v>
      </c>
      <c r="AF50" s="195">
        <f ca="1">Commodity!AJ70*(1+$C$20+$C$21)*$F$5+$G26*AF$31*$F$6*(1+$C$20+$C$21)+($C$18*AF$32+$C$19*AF$33)*$F$7+$C$19*AF$34*$F$8+$C$19*AF$35*$F$9</f>
        <v>5.9547333668428033</v>
      </c>
      <c r="AG50" s="195">
        <f ca="1">Commodity!AK70*(1+$C$20+$C$21)*$F$5+$G26*AG$31*$F$6*(1+$C$20+$C$21)+($C$18*AG$32+$C$19*AG$33)*$F$7+$C$19*AG$34*$F$8+$C$19*AG$35*$F$9</f>
        <v>6.3440184920835083</v>
      </c>
      <c r="AH50" s="195">
        <f ca="1">Commodity!AL70*(1+$C$20+$C$21)*$F$5+$G26*AH$31*$F$6*(1+$C$20+$C$21)+($C$18*AH$32+$C$19*AH$33)*$F$7+$C$19*AH$34*$F$8+$C$19*AH$35*$F$9</f>
        <v>6.7608582259056229</v>
      </c>
      <c r="AI50" s="195">
        <f ca="1">Commodity!AM70*(1+$C$20+$C$21)*$F$5+$G26*AI$31*$F$6*(1+$C$20+$C$21)+($C$18*AI$32+$C$19*AI$33)*$F$7+$C$19*AI$34*$F$8+$C$19*AI$35*$F$9</f>
        <v>7.2073255933614107</v>
      </c>
      <c r="AJ50" s="195">
        <f ca="1">Commodity!AN70*(1+$C$20+$C$21)*$F$5+$G26*AJ$31*$F$6*(1+$C$20+$C$21)+($C$18*AJ$32+$C$19*AJ$33)*$F$7+$C$19*AJ$34*$F$8+$C$19*AJ$35*$F$9</f>
        <v>7.6856495800879179</v>
      </c>
    </row>
    <row r="51" spans="1:36">
      <c r="A51" t="s">
        <v>15</v>
      </c>
      <c r="B51" s="33">
        <f t="shared" ca="1" si="4"/>
        <v>2.7197086873402871</v>
      </c>
      <c r="C51" s="33"/>
      <c r="D51" s="195">
        <f ca="1">Commodity!H71*(1+$C$20+$C$21)*$F$5+$G27*D$31*$F$6*(1+$C$20+$C$21)+($C$18*D$32+$C$19*D$33)*$F$7+$C$19*D$34*$F$8+$C$19*D$35*$F$9</f>
        <v>1.4423044881450025</v>
      </c>
      <c r="E51" s="195">
        <f ca="1">Commodity!I71*(1+$C$20+$C$21)*$F$5+$G27*E$31*$F$6*(1+$C$20+$C$21)+($C$18*E$32+$C$19*E$33)*$F$7+$C$19*E$34*$F$8+$C$19*E$35*$F$9</f>
        <v>1.5167716161250495</v>
      </c>
      <c r="F51" s="195">
        <f ca="1">Commodity!J71*(1+$C$20+$C$21)*$F$5+$G27*F$31*$F$6*(1+$C$20+$C$21)+($C$18*F$32+$C$19*F$33)*$F$7+$C$19*F$34*$F$8+$C$19*F$35*$F$9</f>
        <v>1.5980878583024649</v>
      </c>
      <c r="G51" s="195">
        <f ca="1">Commodity!K71*(1+$C$20+$C$21)*$F$5+$G27*G$31*$F$6*(1+$C$20+$C$21)+($C$18*G$32+$C$19*G$33)*$F$7+$C$19*G$34*$F$8+$C$19*G$35*$F$9</f>
        <v>1.6834109217229591</v>
      </c>
      <c r="H51" s="195">
        <f ca="1">Commodity!L71*(1+$C$20+$C$21)*$F$5+$G27*H$31*$F$6*(1+$C$20+$C$21)+($C$18*H$32+$C$19*H$33)*$F$7+$C$19*H$34*$F$8+$C$19*H$35*$F$9</f>
        <v>1.7694959418091181</v>
      </c>
      <c r="I51" s="195">
        <f ca="1">Commodity!M71*(1+$C$20+$C$21)*$F$5+$G27*I$31*$F$6*(1+$C$20+$C$21)+($C$18*I$32+$C$19*I$33)*$F$7+$C$19*I$34*$F$8+$C$19*I$35*$F$9</f>
        <v>1.8619639887110733</v>
      </c>
      <c r="J51" s="195">
        <f ca="1">Commodity!N71*(1+$C$20+$C$21)*$F$5+$G27*J$31*$F$6*(1+$C$20+$C$21)+($C$18*J$32+$C$19*J$33)*$F$7+$C$19*J$34*$F$8+$C$19*J$35*$F$9</f>
        <v>1.9600643484407885</v>
      </c>
      <c r="K51" s="195">
        <f ca="1">Commodity!O71*(1+$C$20+$C$21)*$F$5+$G27*K$31*$F$6*(1+$C$20+$C$21)+($C$18*K$32+$C$19*K$33)*$F$7+$C$19*K$34*$F$8+$C$19*K$35*$F$9</f>
        <v>2.0640373908452689</v>
      </c>
      <c r="L51" s="195">
        <f ca="1">Commodity!P71*(1+$C$20+$C$21)*$F$5+$G27*L$31*$F$6*(1+$C$20+$C$21)+($C$18*L$32+$C$19*L$33)*$F$7+$C$19*L$34*$F$8+$C$19*L$35*$F$9</f>
        <v>2.1744091129963108</v>
      </c>
      <c r="M51" s="195">
        <f ca="1">Commodity!Q71*(1+$C$20+$C$21)*$F$5+$G27*M$31*$F$6*(1+$C$20+$C$21)+($C$18*M$32+$C$19*M$33)*$F$7+$C$19*M$34*$F$8+$C$19*M$35*$F$9</f>
        <v>2.2914669458230472</v>
      </c>
      <c r="N51" s="195">
        <f ca="1">Commodity!R71*(1+$C$20+$C$21)*$F$5+$G27*N$31*$F$6*(1+$C$20+$C$21)+($C$18*N$32+$C$19*N$33)*$F$7+$C$19*N$34*$F$8+$C$19*N$35*$F$9</f>
        <v>2.4135429298354008</v>
      </c>
      <c r="O51" s="195">
        <f ca="1">Commodity!S71*(1+$C$20+$C$21)*$F$5+$G27*O$31*$F$6*(1+$C$20+$C$21)+($C$18*O$32+$C$19*O$33)*$F$7+$C$19*O$34*$F$8+$C$19*O$35*$F$9</f>
        <v>2.5422678942540613</v>
      </c>
      <c r="P51" s="195">
        <f ca="1">Commodity!T71*(1+$C$20+$C$21)*$F$5+$G27*P$31*$F$6*(1+$C$20+$C$21)+($C$18*P$32+$C$19*P$33)*$F$7+$C$19*P$34*$F$8+$C$19*P$35*$F$9</f>
        <v>2.6786907169723984</v>
      </c>
      <c r="Q51" s="195">
        <f ca="1">Commodity!U71*(1+$C$20+$C$21)*$F$5+$G27*Q$31*$F$6*(1+$C$20+$C$21)+($C$18*Q$32+$C$19*Q$33)*$F$7+$C$19*Q$34*$F$8+$C$19*Q$35*$F$9</f>
        <v>2.8236217362484588</v>
      </c>
      <c r="R51" s="195">
        <f ca="1">Commodity!V71*(1+$C$20+$C$21)*$F$5+$G27*R$31*$F$6*(1+$C$20+$C$21)+($C$18*R$32+$C$19*R$33)*$F$7+$C$19*R$34*$F$8+$C$19*R$35*$F$9</f>
        <v>2.9775208966268609</v>
      </c>
      <c r="S51" s="195">
        <f ca="1">Commodity!W71*(1+$C$20+$C$21)*$F$5+$G27*S$31*$F$6*(1+$C$20+$C$21)+($C$18*S$32+$C$19*S$33)*$F$7+$C$19*S$34*$F$8+$C$19*S$35*$F$9</f>
        <v>3.1411680665467991</v>
      </c>
      <c r="T51" s="195">
        <f ca="1">Commodity!X71*(1+$C$20+$C$21)*$F$5+$G27*T$31*$F$6*(1+$C$20+$C$21)+($C$18*T$32+$C$19*T$33)*$F$7+$C$19*T$34*$F$8+$C$19*T$35*$F$9</f>
        <v>3.3144853218861705</v>
      </c>
      <c r="U51" s="195">
        <f ca="1">Commodity!Y71*(1+$C$20+$C$21)*$F$5+$G27*U$31*$F$6*(1+$C$20+$C$21)+($C$18*U$32+$C$19*U$33)*$F$7+$C$19*U$34*$F$8+$C$19*U$35*$F$9</f>
        <v>3.4986116651468508</v>
      </c>
      <c r="V51" s="195">
        <f ca="1">Commodity!Z71*(1+$C$20+$C$21)*$F$5+$G27*V$31*$F$6*(1+$C$20+$C$21)+($C$18*V$32+$C$19*V$33)*$F$7+$C$19*V$34*$F$8+$C$19*V$35*$F$9</f>
        <v>3.6942768340839152</v>
      </c>
      <c r="W51" s="195">
        <f ca="1">Commodity!AA71*(1+$C$20+$C$21)*$F$5+$G27*W$31*$F$6*(1+$C$20+$C$21)+($C$18*W$32+$C$19*W$33)*$F$7+$C$19*W$34*$F$8+$C$19*W$35*$F$9</f>
        <v>3.9023489330157459</v>
      </c>
      <c r="X51" s="195">
        <f ca="1">Commodity!AB71*(1+$C$20+$C$21)*$F$5+$G27*X$31*$F$6*(1+$C$20+$C$21)+($C$18*X$32+$C$19*X$33)*$F$7+$C$19*X$34*$F$8+$C$19*X$35*$F$9</f>
        <v>4.1237613766423014</v>
      </c>
      <c r="Y51" s="195">
        <f ca="1">Commodity!AC71*(1+$C$20+$C$21)*$F$5+$G27*Y$31*$F$6*(1+$C$20+$C$21)+($C$18*Y$32+$C$19*Y$33)*$F$7+$C$19*Y$34*$F$8+$C$19*Y$35*$F$9</f>
        <v>4.359517803562766</v>
      </c>
      <c r="Z51" s="195">
        <f ca="1">Commodity!AD71*(1+$C$20+$C$21)*$F$5+$G27*Z$31*$F$6*(1+$C$20+$C$21)+($C$18*Z$32+$C$19*Z$33)*$F$7+$C$19*Z$34*$F$8+$C$19*Z$35*$F$9</f>
        <v>4.6106973594536234</v>
      </c>
      <c r="AA51" s="195">
        <f ca="1">Commodity!AE71*(1+$C$20+$C$21)*$F$5+$G27*AA$31*$F$6*(1+$C$20+$C$21)+($C$18*AA$32+$C$19*AA$33)*$F$7+$C$19*AA$34*$F$8+$C$19*AA$35*$F$9</f>
        <v>4.8784603777177482</v>
      </c>
      <c r="AB51" s="195">
        <f ca="1">Commodity!AF71*(1+$C$20+$C$21)*$F$5+$G27*AB$31*$F$6*(1+$C$20+$C$21)+($C$18*AB$32+$C$19*AB$33)*$F$7+$C$19*AB$34*$F$8+$C$19*AB$35*$F$9</f>
        <v>5.1640544875076815</v>
      </c>
      <c r="AC51" s="195">
        <f ca="1">Commodity!AG71*(1+$C$20+$C$21)*$F$5+$G27*AC$31*$F$6*(1+$C$20+$C$21)+($C$18*AC$32+$C$19*AC$33)*$F$7+$C$19*AC$34*$F$8+$C$19*AC$35*$F$9</f>
        <v>5.4688211812758825</v>
      </c>
      <c r="AD51" s="195">
        <f ca="1">Commodity!AH71*(1+$C$20+$C$21)*$F$5+$G27*AD$31*$F$6*(1+$C$20+$C$21)+($C$18*AD$32+$C$19*AD$33)*$F$7+$C$19*AD$34*$F$8+$C$19*AD$35*$F$9</f>
        <v>5.7942028764236575</v>
      </c>
      <c r="AE51" s="195">
        <f ca="1">Commodity!AI71*(1+$C$20+$C$21)*$F$5+$G27*AE$31*$F$6*(1+$C$20+$C$21)+($C$18*AE$32+$C$19*AE$33)*$F$7+$C$19*AE$34*$F$8+$C$19*AE$35*$F$9</f>
        <v>6.1417505082214596</v>
      </c>
      <c r="AF51" s="195">
        <f ca="1">Commodity!AJ71*(1+$C$20+$C$21)*$F$5+$G27*AF$31*$F$6*(1+$C$20+$C$21)+($C$18*AF$32+$C$19*AF$33)*$F$7+$C$19*AF$34*$F$8+$C$19*AF$35*$F$9</f>
        <v>6.5131316939699264</v>
      </c>
      <c r="AG51" s="195">
        <f ca="1">Commodity!AK71*(1+$C$20+$C$21)*$F$5+$G27*AG$31*$F$6*(1+$C$20+$C$21)+($C$18*AG$32+$C$19*AG$33)*$F$7+$C$19*AG$34*$F$8+$C$19*AG$35*$F$9</f>
        <v>6.9101395113779418</v>
      </c>
      <c r="AH51" s="195">
        <f ca="1">Commodity!AL71*(1+$C$20+$C$21)*$F$5+$G27*AH$31*$F$6*(1+$C$20+$C$21)+($C$18*AH$32+$C$19*AH$33)*$F$7+$C$19*AH$34*$F$8+$C$19*AH$35*$F$9</f>
        <v>7.334701937367365</v>
      </c>
      <c r="AI51" s="195">
        <f ca="1">Commodity!AM71*(1+$C$20+$C$21)*$F$5+$G27*AI$31*$F$6*(1+$C$20+$C$21)+($C$18*AI$32+$C$19*AI$33)*$F$7+$C$19*AI$34*$F$8+$C$19*AI$35*$F$9</f>
        <v>7.7888919969904666</v>
      </c>
      <c r="AJ51" s="195">
        <f ca="1">Commodity!AN71*(1+$C$20+$C$21)*$F$5+$G27*AJ$31*$F$6*(1+$C$20+$C$21)+($C$18*AJ$32+$C$19*AJ$33)*$F$7+$C$19*AJ$34*$F$8+$C$19*AJ$35*$F$9</f>
        <v>8.2749386758842824</v>
      </c>
    </row>
    <row r="52" spans="1:36">
      <c r="A52" t="s">
        <v>16</v>
      </c>
      <c r="B52" s="33">
        <f t="shared" ca="1" si="4"/>
        <v>2.7654719085012376</v>
      </c>
      <c r="C52" s="33"/>
      <c r="D52" s="195">
        <f ca="1">Commodity!H72*(1+$C$20+$C$21)*$F$5+$G28*D$31*$F$6*(1+$C$20+$C$21)+($C$18*D$32+$C$19*D$33)*$F$7+$C$19*D$34*$F$8+$C$19*D$35*$F$9</f>
        <v>1.4783895260873268</v>
      </c>
      <c r="E52" s="195">
        <f ca="1">Commodity!I72*(1+$C$20+$C$21)*$F$5+$G28*E$31*$F$6*(1+$C$20+$C$21)+($C$18*E$32+$C$19*E$33)*$F$7+$C$19*E$34*$F$8+$C$19*E$35*$F$9</f>
        <v>1.5533207738416765</v>
      </c>
      <c r="F52" s="195">
        <f ca="1">Commodity!J72*(1+$C$20+$C$21)*$F$5+$G28*F$31*$F$6*(1+$C$20+$C$21)+($C$18*F$32+$C$19*F$33)*$F$7+$C$19*F$34*$F$8+$C$19*F$35*$F$9</f>
        <v>1.6357982215028546</v>
      </c>
      <c r="G52" s="195">
        <f ca="1">Commodity!K72*(1+$C$20+$C$21)*$F$5+$G28*G$31*$F$6*(1+$C$20+$C$21)+($C$18*G$32+$C$19*G$33)*$F$7+$C$19*G$34*$F$8+$C$19*G$35*$F$9</f>
        <v>1.721802419214991</v>
      </c>
      <c r="H52" s="195">
        <f ca="1">Commodity!L72*(1+$C$20+$C$21)*$F$5+$G28*H$31*$F$6*(1+$C$20+$C$21)+($C$18*H$32+$C$19*H$33)*$F$7+$C$19*H$34*$F$8+$C$19*H$35*$F$9</f>
        <v>1.8085854489350304</v>
      </c>
      <c r="I52" s="195">
        <f ca="1">Commodity!M72*(1+$C$20+$C$21)*$F$5+$G28*I$31*$F$6*(1+$C$20+$C$21)+($C$18*I$32+$C$19*I$33)*$F$7+$C$19*I$34*$F$8+$C$19*I$35*$F$9</f>
        <v>1.9020595736732806</v>
      </c>
      <c r="J52" s="195">
        <f ca="1">Commodity!N72*(1+$C$20+$C$21)*$F$5+$G28*J$31*$F$6*(1+$C$20+$C$21)+($C$18*J$32+$C$19*J$33)*$F$7+$C$19*J$34*$F$8+$C$19*J$35*$F$9</f>
        <v>2.001137846172905</v>
      </c>
      <c r="K52" s="195">
        <f ca="1">Commodity!O72*(1+$C$20+$C$21)*$F$5+$G28*K$31*$F$6*(1+$C$20+$C$21)+($C$18*K$32+$C$19*K$33)*$F$7+$C$19*K$34*$F$8+$C$19*K$35*$F$9</f>
        <v>2.1061673399110057</v>
      </c>
      <c r="L52" s="195">
        <f ca="1">Commodity!P72*(1+$C$20+$C$21)*$F$5+$G28*L$31*$F$6*(1+$C$20+$C$21)+($C$18*L$32+$C$19*L$33)*$F$7+$C$19*L$34*$F$8+$C$19*L$35*$F$9</f>
        <v>2.2176964213123389</v>
      </c>
      <c r="M52" s="195">
        <f ca="1">Commodity!Q72*(1+$C$20+$C$21)*$F$5+$G28*M$31*$F$6*(1+$C$20+$C$21)+($C$18*M$32+$C$19*M$33)*$F$7+$C$19*M$34*$F$8+$C$19*M$35*$F$9</f>
        <v>2.3359531884207634</v>
      </c>
      <c r="N52" s="195">
        <f ca="1">Commodity!R72*(1+$C$20+$C$21)*$F$5+$G28*N$31*$F$6*(1+$C$20+$C$21)+($C$18*N$32+$C$19*N$33)*$F$7+$C$19*N$34*$F$8+$C$19*N$35*$F$9</f>
        <v>2.4588845140899958</v>
      </c>
      <c r="O52" s="195">
        <f ca="1">Commodity!S72*(1+$C$20+$C$21)*$F$5+$G28*O$31*$F$6*(1+$C$20+$C$21)+($C$18*O$32+$C$19*O$33)*$F$7+$C$19*O$34*$F$8+$C$19*O$35*$F$9</f>
        <v>2.5886194497153419</v>
      </c>
      <c r="P52" s="195">
        <f ca="1">Commodity!T72*(1+$C$20+$C$21)*$F$5+$G28*P$31*$F$6*(1+$C$20+$C$21)+($C$18*P$32+$C$19*P$33)*$F$7+$C$19*P$34*$F$8+$C$19*P$35*$F$9</f>
        <v>2.7260757580957766</v>
      </c>
      <c r="Q52" s="195">
        <f ca="1">Commodity!U72*(1+$C$20+$C$21)*$F$5+$G28*Q$31*$F$6*(1+$C$20+$C$21)+($C$18*Q$32+$C$19*Q$33)*$F$7+$C$19*Q$34*$F$8+$C$19*Q$35*$F$9</f>
        <v>2.8721001591832573</v>
      </c>
      <c r="R52" s="195">
        <f ca="1">Commodity!V72*(1+$C$20+$C$21)*$F$5+$G28*R$31*$F$6*(1+$C$20+$C$21)+($C$18*R$32+$C$19*R$33)*$F$7+$C$19*R$34*$F$8+$C$19*R$35*$F$9</f>
        <v>3.0271172380998239</v>
      </c>
      <c r="S52" s="195">
        <f ca="1">Commodity!W72*(1+$C$20+$C$21)*$F$5+$G28*S$31*$F$6*(1+$C$20+$C$21)+($C$18*S$32+$C$19*S$33)*$F$7+$C$19*S$34*$F$8+$C$19*S$35*$F$9</f>
        <v>3.1919432983516667</v>
      </c>
      <c r="T52" s="195">
        <f ca="1">Commodity!X72*(1+$C$20+$C$21)*$F$5+$G28*T$31*$F$6*(1+$C$20+$C$21)+($C$18*T$32+$C$19*T$33)*$F$7+$C$19*T$34*$F$8+$C$19*T$35*$F$9</f>
        <v>3.3663987961604489</v>
      </c>
      <c r="U52" s="195">
        <f ca="1">Commodity!Y72*(1+$C$20+$C$21)*$F$5+$G28*U$31*$F$6*(1+$C$20+$C$21)+($C$18*U$32+$C$19*U$33)*$F$7+$C$19*U$34*$F$8+$C$19*U$35*$F$9</f>
        <v>3.5516735438561615</v>
      </c>
      <c r="V52" s="195">
        <f ca="1">Commodity!Z72*(1+$C$20+$C$21)*$F$5+$G28*V$31*$F$6*(1+$C$20+$C$21)+($C$18*V$32+$C$19*V$33)*$F$7+$C$19*V$34*$F$8+$C$19*V$35*$F$9</f>
        <v>3.7484871172282621</v>
      </c>
      <c r="W52" s="195">
        <f ca="1">Commodity!AA72*(1+$C$20+$C$21)*$F$5+$G28*W$31*$F$6*(1+$C$20+$C$21)+($C$18*W$32+$C$19*W$33)*$F$7+$C$19*W$34*$F$8+$C$19*W$35*$F$9</f>
        <v>3.9577076205951287</v>
      </c>
      <c r="X52" s="195">
        <f ca="1">Commodity!AB72*(1+$C$20+$C$21)*$F$5+$G28*X$31*$F$6*(1+$C$20+$C$21)+($C$18*X$32+$C$19*X$33)*$F$7+$C$19*X$34*$F$8+$C$19*X$35*$F$9</f>
        <v>4.1802684686567169</v>
      </c>
      <c r="Y52" s="195">
        <f ca="1">Commodity!AC72*(1+$C$20+$C$21)*$F$5+$G28*Y$31*$F$6*(1+$C$20+$C$21)+($C$18*Y$32+$C$19*Y$33)*$F$7+$C$19*Y$34*$F$8+$C$19*Y$35*$F$9</f>
        <v>4.4171733000122169</v>
      </c>
      <c r="Z52" s="195">
        <f ca="1">Commodity!AD72*(1+$C$20+$C$21)*$F$5+$G28*Z$31*$F$6*(1+$C$20+$C$21)+($C$18*Z$32+$C$19*Z$33)*$F$7+$C$19*Z$34*$F$8+$C$19*Z$35*$F$9</f>
        <v>4.669501260338107</v>
      </c>
      <c r="AA52" s="195">
        <f ca="1">Commodity!AE72*(1+$C$20+$C$21)*$F$5+$G28*AA$31*$F$6*(1+$C$20+$C$21)+($C$18*AA$32+$C$19*AA$33)*$F$7+$C$19*AA$34*$F$8+$C$19*AA$35*$F$9</f>
        <v>4.9384126830372646</v>
      </c>
      <c r="AB52" s="195">
        <f ca="1">Commodity!AF72*(1+$C$20+$C$21)*$F$5+$G28*AB$31*$F$6*(1+$C$20+$C$21)+($C$18*AB$32+$C$19*AB$33)*$F$7+$C$19*AB$34*$F$8+$C$19*AB$35*$F$9</f>
        <v>5.2251551972622341</v>
      </c>
      <c r="AC52" s="195">
        <f ca="1">Commodity!AG72*(1+$C$20+$C$21)*$F$5+$G28*AC$31*$F$6*(1+$C$20+$C$21)+($C$18*AC$32+$C$19*AC$33)*$F$7+$C$19*AC$34*$F$8+$C$19*AC$35*$F$9</f>
        <v>5.5310702954654705</v>
      </c>
      <c r="AD52" s="195">
        <f ca="1">Commodity!AH72*(1+$C$20+$C$21)*$F$5+$G28*AD$31*$F$6*(1+$C$20+$C$21)+($C$18*AD$32+$C$19*AD$33)*$F$7+$C$19*AD$34*$F$8+$C$19*AD$35*$F$9</f>
        <v>5.8576003950482791</v>
      </c>
      <c r="AE52" s="195">
        <f ca="1">Commodity!AI72*(1+$C$20+$C$21)*$F$5+$G28*AE$31*$F$6*(1+$C$20+$C$21)+($C$18*AE$32+$C$19*AE$33)*$F$7+$C$19*AE$34*$F$8+$C$19*AE$35*$F$9</f>
        <v>6.2062964312811157</v>
      </c>
      <c r="AF52" s="195">
        <f ca="1">Commodity!AJ72*(1+$C$20+$C$21)*$F$5+$G28*AF$31*$F$6*(1+$C$20+$C$21)+($C$18*AF$32+$C$19*AF$33)*$F$7+$C$19*AF$34*$F$8+$C$19*AF$35*$F$9</f>
        <v>6.578826021464617</v>
      </c>
      <c r="AG52" s="195">
        <f ca="1">Commodity!AK72*(1+$C$20+$C$21)*$F$5+$G28*AG$31*$F$6*(1+$C$20+$C$21)+($C$18*AG$32+$C$19*AG$33)*$F$7+$C$19*AG$34*$F$8+$C$19*AG$35*$F$9</f>
        <v>6.9769822433076651</v>
      </c>
      <c r="AH52" s="195">
        <f ca="1">Commodity!AL72*(1+$C$20+$C$21)*$F$5+$G28*AH$31*$F$6*(1+$C$20+$C$21)+($C$18*AH$32+$C$19*AH$33)*$F$7+$C$19*AH$34*$F$8+$C$19*AH$35*$F$9</f>
        <v>7.4026930737321237</v>
      </c>
      <c r="AI52" s="195">
        <f ca="1">Commodity!AM72*(1+$C$20+$C$21)*$F$5+$G28*AI$31*$F$6*(1+$C$20+$C$21)+($C$18*AI$32+$C$19*AI$33)*$F$7+$C$19*AI$34*$F$8+$C$19*AI$35*$F$9</f>
        <v>7.8580315377902572</v>
      </c>
      <c r="AJ52" s="195">
        <f ca="1">Commodity!AN72*(1+$C$20+$C$21)*$F$5+$G28*AJ$31*$F$6*(1+$C$20+$C$21)+($C$18*AJ$32+$C$19*AJ$33)*$F$7+$C$19*AJ$34*$F$8+$C$19*AJ$35*$F$9</f>
        <v>8.3452266211191084</v>
      </c>
    </row>
  </sheetData>
  <phoneticPr fontId="11" type="noConversion"/>
  <conditionalFormatting sqref="F5">
    <cfRule type="cellIs" dxfId="3" priority="3" stopIfTrue="1" operator="equal">
      <formula>FALSE</formula>
    </cfRule>
    <cfRule type="cellIs" dxfId="2" priority="4" operator="equal">
      <formula>TRUE</formula>
    </cfRule>
  </conditionalFormatting>
  <conditionalFormatting sqref="F6:F9">
    <cfRule type="cellIs" dxfId="1" priority="1" stopIfTrue="1" operator="equal">
      <formula>FALSE</formula>
    </cfRule>
    <cfRule type="cellIs" dxfId="0" priority="2" operator="equal">
      <formula>TRUE</formula>
    </cfRule>
  </conditionalFormatting>
  <dataValidations count="1">
    <dataValidation type="list" allowBlank="1" showInputMessage="1" showErrorMessage="1" sqref="F5:F9" xr:uid="{00000000-0002-0000-0200-000000000000}">
      <formula1>"TRUE, FALSE"</formula1>
    </dataValidation>
  </dataValidation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0</xdr:colOff>
                    <xdr:row>4</xdr:row>
                    <xdr:rowOff>0</xdr:rowOff>
                  </from>
                  <to>
                    <xdr:col>3</xdr:col>
                    <xdr:colOff>0</xdr:colOff>
                    <xdr:row>5</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5</xdr:row>
                    <xdr:rowOff>0</xdr:rowOff>
                  </from>
                  <to>
                    <xdr:col>3</xdr:col>
                    <xdr:colOff>0</xdr:colOff>
                    <xdr:row>6</xdr:row>
                    <xdr:rowOff>0</xdr:rowOff>
                  </to>
                </anchor>
              </controlPr>
            </control>
          </mc:Choice>
        </mc:AlternateContent>
        <mc:AlternateContent xmlns:mc="http://schemas.openxmlformats.org/markup-compatibility/2006">
          <mc:Choice Requires="x14">
            <control shapeId="1043" r:id="rId6" name="Drop Down 19">
              <controlPr defaultSize="0" autoLine="0" autoPict="0">
                <anchor moveWithCells="1">
                  <from>
                    <xdr:col>2</xdr:col>
                    <xdr:colOff>0</xdr:colOff>
                    <xdr:row>6</xdr:row>
                    <xdr:rowOff>0</xdr:rowOff>
                  </from>
                  <to>
                    <xdr:col>3</xdr:col>
                    <xdr:colOff>0</xdr:colOff>
                    <xdr:row>7</xdr:row>
                    <xdr:rowOff>0</xdr:rowOff>
                  </to>
                </anchor>
              </controlPr>
            </control>
          </mc:Choice>
        </mc:AlternateContent>
        <mc:AlternateContent xmlns:mc="http://schemas.openxmlformats.org/markup-compatibility/2006">
          <mc:Choice Requires="x14">
            <control shapeId="1044" r:id="rId7" name="Drop Down 20">
              <controlPr defaultSize="0" autoLine="0" autoPict="0">
                <anchor moveWithCells="1">
                  <from>
                    <xdr:col>2</xdr:col>
                    <xdr:colOff>0</xdr:colOff>
                    <xdr:row>7</xdr:row>
                    <xdr:rowOff>0</xdr:rowOff>
                  </from>
                  <to>
                    <xdr:col>3</xdr:col>
                    <xdr:colOff>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AO68"/>
  <sheetViews>
    <sheetView zoomScale="62" zoomScaleNormal="62" workbookViewId="0">
      <selection activeCell="J53" sqref="J53"/>
    </sheetView>
  </sheetViews>
  <sheetFormatPr defaultColWidth="9" defaultRowHeight="13.8"/>
  <cols>
    <col min="3" max="3" width="14" customWidth="1"/>
  </cols>
  <sheetData>
    <row r="1" spans="1:41">
      <c r="A1" s="261"/>
      <c r="B1" s="261"/>
      <c r="C1" s="261"/>
      <c r="D1" s="261"/>
      <c r="E1" s="261"/>
      <c r="F1" s="261"/>
      <c r="G1" s="26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1">
      <c r="A2" s="261"/>
      <c r="B2" s="261"/>
      <c r="C2" s="261"/>
      <c r="D2" s="261"/>
      <c r="E2" s="261"/>
      <c r="F2" s="261"/>
      <c r="G2" s="261"/>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row>
    <row r="3" spans="1:41">
      <c r="A3" s="1"/>
      <c r="B3" s="60"/>
      <c r="C3" s="60" t="s">
        <v>100</v>
      </c>
      <c r="D3" s="60"/>
      <c r="E3" s="60"/>
      <c r="F3" s="60"/>
      <c r="G3" s="60"/>
      <c r="H3" s="60"/>
      <c r="I3" s="60"/>
      <c r="J3" s="60"/>
      <c r="K3" s="60"/>
      <c r="L3" s="60"/>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c r="A4" s="1"/>
      <c r="B4" s="60"/>
      <c r="C4" s="60" t="s">
        <v>23</v>
      </c>
      <c r="D4" s="60" t="str">
        <f>IF('User Dashboard'!C5=1,'drop downs'!B3,IF('User Dashboard'!C5=2,'drop downs'!B4,'drop downs'!B5))</f>
        <v>PG&amp;E</v>
      </c>
      <c r="E4" s="60"/>
      <c r="F4" s="60"/>
      <c r="G4" s="60"/>
      <c r="H4" s="60"/>
      <c r="I4" s="60"/>
      <c r="J4" s="60"/>
      <c r="K4" s="60"/>
      <c r="L4" s="60"/>
      <c r="M4" s="1"/>
      <c r="N4" s="1"/>
      <c r="O4" s="1"/>
      <c r="P4" s="1"/>
      <c r="Q4" s="1"/>
      <c r="R4" s="1"/>
      <c r="S4" s="60" t="s">
        <v>101</v>
      </c>
      <c r="T4" s="1"/>
      <c r="U4" s="1"/>
      <c r="V4" s="1"/>
      <c r="W4" s="1"/>
      <c r="X4" s="1"/>
      <c r="Y4" s="1"/>
      <c r="Z4" s="1"/>
      <c r="AA4" s="1"/>
      <c r="AB4" s="1"/>
      <c r="AC4" s="1"/>
      <c r="AD4" s="1"/>
      <c r="AE4" s="1"/>
      <c r="AF4" s="1"/>
      <c r="AG4" s="1"/>
      <c r="AH4" s="1"/>
      <c r="AI4" s="1"/>
      <c r="AJ4" s="1"/>
      <c r="AK4" s="1"/>
      <c r="AL4" s="1"/>
      <c r="AM4" s="1"/>
      <c r="AN4" s="1"/>
      <c r="AO4" s="1"/>
    </row>
    <row r="5" spans="1:41">
      <c r="A5" s="1"/>
      <c r="B5" s="60"/>
      <c r="C5" s="60" t="s">
        <v>24</v>
      </c>
      <c r="D5" s="60" t="str">
        <f>IF('User Dashboard'!C6=1,'drop downs'!B7,IF('User Dashboard'!C6=2,'drop downs'!B8,'drop downs'!B9))</f>
        <v>Residential</v>
      </c>
      <c r="E5" s="61"/>
      <c r="F5" s="62"/>
      <c r="G5" s="60"/>
      <c r="H5" s="60"/>
      <c r="I5" s="60"/>
      <c r="J5" s="60"/>
      <c r="K5" s="60"/>
      <c r="L5" s="60"/>
      <c r="M5" s="1"/>
      <c r="N5" s="1"/>
      <c r="O5" s="1"/>
      <c r="P5" s="1"/>
      <c r="Q5" s="1"/>
      <c r="R5" s="1"/>
      <c r="S5" s="60" t="str">
        <f>D9&amp;": "&amp;D4&amp;", "&amp;D5&amp;", "&amp;D6&amp;", "&amp;D7</f>
        <v>Levelized Gas Avoided Costs: PG&amp;E, Residential, Residential Furnace, Uncontrolled</v>
      </c>
      <c r="T5" s="1"/>
      <c r="U5" s="1"/>
      <c r="V5" s="1"/>
      <c r="W5" s="1"/>
      <c r="X5" s="1"/>
      <c r="Y5" s="1"/>
      <c r="Z5" s="1"/>
      <c r="AA5" s="1"/>
      <c r="AB5" s="1"/>
      <c r="AC5" s="1"/>
      <c r="AD5" s="1"/>
      <c r="AE5" s="1"/>
      <c r="AF5" s="1"/>
      <c r="AG5" s="1"/>
      <c r="AH5" s="1"/>
      <c r="AI5" s="1"/>
      <c r="AJ5" s="1"/>
      <c r="AK5" s="1"/>
      <c r="AL5" s="1"/>
      <c r="AM5" s="1"/>
      <c r="AN5" s="1"/>
      <c r="AO5" s="1"/>
    </row>
    <row r="6" spans="1:41">
      <c r="A6" s="1"/>
      <c r="B6" s="60"/>
      <c r="C6" s="60" t="s">
        <v>50</v>
      </c>
      <c r="D6" s="60" t="str">
        <f>IF('User Dashboard'!C7=1,'drop downs'!B19,IF('User Dashboard'!C7=2,'drop downs'!B20,'drop downs'!B21))</f>
        <v>Residential Furnace</v>
      </c>
      <c r="E6" s="60"/>
      <c r="F6" s="60"/>
      <c r="G6" s="60"/>
      <c r="H6" s="60"/>
      <c r="I6" s="60"/>
      <c r="J6" s="60"/>
      <c r="K6" s="60"/>
      <c r="L6" s="60"/>
      <c r="M6" s="1"/>
      <c r="N6" s="1"/>
      <c r="O6" s="1"/>
      <c r="P6" s="1"/>
      <c r="Q6" s="1"/>
      <c r="R6" s="1"/>
      <c r="S6" s="60" t="str">
        <f>I9&amp;": "&amp;D4&amp;", "&amp;D5&amp;", "&amp;D6&amp;", "&amp;D7</f>
        <v>Monthly Gas Avoided Costs: PG&amp;E, Residential, Residential Furnace, Uncontrolled</v>
      </c>
      <c r="T6" s="1"/>
      <c r="U6" s="1"/>
      <c r="V6" s="1"/>
      <c r="W6" s="1"/>
      <c r="X6" s="1"/>
      <c r="Y6" s="1"/>
      <c r="Z6" s="1"/>
      <c r="AA6" s="1"/>
      <c r="AB6" s="1"/>
      <c r="AC6" s="1"/>
      <c r="AD6" s="1"/>
      <c r="AE6" s="1"/>
      <c r="AF6" s="1"/>
      <c r="AG6" s="1"/>
      <c r="AH6" s="1"/>
      <c r="AI6" s="1"/>
      <c r="AJ6" s="1"/>
      <c r="AK6" s="1"/>
      <c r="AL6" s="1"/>
      <c r="AM6" s="1"/>
      <c r="AN6" s="1"/>
      <c r="AO6" s="1"/>
    </row>
    <row r="7" spans="1:41">
      <c r="A7" s="1"/>
      <c r="B7" s="60"/>
      <c r="C7" s="60" t="s">
        <v>56</v>
      </c>
      <c r="D7" s="60" t="str">
        <f>IF('User Dashboard'!C8=1,'drop downs'!E23,IF('User Dashboard'!C8=2,'drop downs'!E24,'drop downs'!E25))</f>
        <v>Uncontrolled</v>
      </c>
      <c r="E7" s="63"/>
      <c r="F7" s="60"/>
      <c r="G7" s="60"/>
      <c r="H7" s="60"/>
      <c r="I7" s="60"/>
      <c r="J7" s="60"/>
      <c r="K7" s="60"/>
      <c r="L7" s="60"/>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c r="A8" s="1"/>
      <c r="B8" s="60"/>
      <c r="C8" s="60"/>
      <c r="D8" s="60"/>
      <c r="E8" s="63"/>
      <c r="F8" s="60"/>
      <c r="G8" s="60"/>
      <c r="H8" s="60"/>
      <c r="I8" s="60"/>
      <c r="J8" s="60"/>
      <c r="K8" s="60"/>
      <c r="L8" s="60"/>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c r="A9" s="1"/>
      <c r="B9" s="60"/>
      <c r="C9" s="60"/>
      <c r="D9" s="60" t="s">
        <v>98</v>
      </c>
      <c r="E9" s="63"/>
      <c r="F9" s="60"/>
      <c r="G9" s="60"/>
      <c r="H9" s="60"/>
      <c r="I9" s="60" t="s">
        <v>99</v>
      </c>
      <c r="J9" s="60"/>
      <c r="K9" s="60"/>
      <c r="L9" s="60"/>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1">
      <c r="A10" s="1"/>
      <c r="B10" s="60"/>
      <c r="C10" s="60"/>
      <c r="D10" s="60"/>
      <c r="E10" s="63"/>
      <c r="F10" s="60"/>
      <c r="G10" s="60"/>
      <c r="H10" s="60"/>
      <c r="I10" s="60"/>
      <c r="J10" s="60"/>
      <c r="K10" s="60"/>
      <c r="L10" s="60"/>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1" s="196" customFormat="1" ht="27.6">
      <c r="D11" s="197" t="s">
        <v>66</v>
      </c>
      <c r="E11" s="197" t="s">
        <v>57</v>
      </c>
      <c r="I11" s="198">
        <f>'User Dashboard'!D40</f>
        <v>2020</v>
      </c>
      <c r="J11" s="198">
        <f>'User Dashboard'!E40</f>
        <v>2021</v>
      </c>
      <c r="K11" s="198">
        <f>'User Dashboard'!F40</f>
        <v>2022</v>
      </c>
      <c r="L11" s="198">
        <f>'User Dashboard'!G40</f>
        <v>2023</v>
      </c>
      <c r="M11" s="198">
        <f>'User Dashboard'!H40</f>
        <v>2024</v>
      </c>
      <c r="N11" s="198">
        <f>'User Dashboard'!I40</f>
        <v>2025</v>
      </c>
      <c r="O11" s="198">
        <f>'User Dashboard'!J40</f>
        <v>2026</v>
      </c>
      <c r="P11" s="198">
        <f>'User Dashboard'!K40</f>
        <v>2027</v>
      </c>
      <c r="Q11" s="198">
        <f>'User Dashboard'!L40</f>
        <v>2028</v>
      </c>
      <c r="R11" s="198">
        <f>'User Dashboard'!M40</f>
        <v>2029</v>
      </c>
      <c r="S11" s="198">
        <f>'User Dashboard'!N40</f>
        <v>2030</v>
      </c>
      <c r="T11" s="198">
        <f>'User Dashboard'!O40</f>
        <v>2031</v>
      </c>
      <c r="U11" s="198">
        <f>'User Dashboard'!P40</f>
        <v>2032</v>
      </c>
      <c r="V11" s="198">
        <f>'User Dashboard'!Q40</f>
        <v>2033</v>
      </c>
      <c r="W11" s="198">
        <f>'User Dashboard'!R40</f>
        <v>2034</v>
      </c>
      <c r="X11" s="198">
        <f>'User Dashboard'!S40</f>
        <v>2035</v>
      </c>
      <c r="Y11" s="198">
        <f>'User Dashboard'!T40</f>
        <v>2036</v>
      </c>
      <c r="Z11" s="198">
        <f>'User Dashboard'!U40</f>
        <v>2037</v>
      </c>
      <c r="AA11" s="198">
        <f>'User Dashboard'!V40</f>
        <v>2038</v>
      </c>
      <c r="AB11" s="198">
        <f>'User Dashboard'!W40</f>
        <v>2039</v>
      </c>
      <c r="AC11" s="198">
        <f>'User Dashboard'!X40</f>
        <v>2040</v>
      </c>
      <c r="AD11" s="198">
        <f>'User Dashboard'!Y40</f>
        <v>2041</v>
      </c>
      <c r="AE11" s="198">
        <f>'User Dashboard'!Z40</f>
        <v>2042</v>
      </c>
      <c r="AF11" s="198">
        <f>'User Dashboard'!AA40</f>
        <v>2043</v>
      </c>
      <c r="AG11" s="198">
        <f>'User Dashboard'!AB40</f>
        <v>2044</v>
      </c>
      <c r="AH11" s="198">
        <f>'User Dashboard'!AC40</f>
        <v>2045</v>
      </c>
      <c r="AI11" s="198">
        <f>'User Dashboard'!AD40</f>
        <v>2046</v>
      </c>
      <c r="AJ11" s="198">
        <f>'User Dashboard'!AE40</f>
        <v>2047</v>
      </c>
      <c r="AK11" s="198">
        <f>'User Dashboard'!AF40</f>
        <v>2048</v>
      </c>
      <c r="AL11" s="198">
        <f>'User Dashboard'!AG40</f>
        <v>2049</v>
      </c>
      <c r="AM11" s="198">
        <f>'User Dashboard'!AH40</f>
        <v>2050</v>
      </c>
      <c r="AN11" s="198">
        <f>'User Dashboard'!AI40</f>
        <v>2051</v>
      </c>
      <c r="AO11" s="198">
        <f>'User Dashboard'!AJ40</f>
        <v>2052</v>
      </c>
    </row>
    <row r="12" spans="1:41">
      <c r="A12" s="1"/>
      <c r="B12" s="1"/>
      <c r="C12" s="1" t="s">
        <v>5</v>
      </c>
      <c r="D12" s="2">
        <f ca="1">'User Dashboard'!B41</f>
        <v>2.7943032150879512</v>
      </c>
      <c r="E12" s="2">
        <f ca="1">AVERAGE($D$12:$D$23)</f>
        <v>2.5085964451836267</v>
      </c>
      <c r="F12" s="3"/>
      <c r="G12" s="1"/>
      <c r="H12" s="1" t="s">
        <v>5</v>
      </c>
      <c r="I12" s="3">
        <f ca="1">'User Dashboard'!D41</f>
        <v>1.500117536079119</v>
      </c>
      <c r="J12" s="3">
        <f ca="1">'User Dashboard'!E41</f>
        <v>1.5781979998987226</v>
      </c>
      <c r="K12" s="3">
        <f ca="1">'User Dashboard'!F41</f>
        <v>1.6585443448342747</v>
      </c>
      <c r="L12" s="3">
        <f ca="1">'User Dashboard'!G41</f>
        <v>1.7471977680012407</v>
      </c>
      <c r="M12" s="3">
        <f ca="1">'User Dashboard'!H41</f>
        <v>1.8351672627185314</v>
      </c>
      <c r="N12" s="3">
        <f ca="1">'User Dashboard'!I41</f>
        <v>1.9276172566537773</v>
      </c>
      <c r="O12" s="3">
        <f ca="1">'User Dashboard'!J41</f>
        <v>2.0271122020185128</v>
      </c>
      <c r="P12" s="3">
        <f ca="1">'User Dashboard'!K41</f>
        <v>2.1324127345613446</v>
      </c>
      <c r="Q12" s="3">
        <f ca="1">'User Dashboard'!L41</f>
        <v>2.2440810972786411</v>
      </c>
      <c r="R12" s="3">
        <f ca="1">'User Dashboard'!M41</f>
        <v>2.3629213437463239</v>
      </c>
      <c r="S12" s="3">
        <f ca="1">'User Dashboard'!N41</f>
        <v>2.4887448586489449</v>
      </c>
      <c r="T12" s="3">
        <f ca="1">'User Dashboard'!O41</f>
        <v>2.6187857768755438</v>
      </c>
      <c r="U12" s="3">
        <f ca="1">'User Dashboard'!P41</f>
        <v>2.7567717742074569</v>
      </c>
      <c r="V12" s="3">
        <f ca="1">'User Dashboard'!Q41</f>
        <v>2.903238419527757</v>
      </c>
      <c r="W12" s="3">
        <f ca="1">'User Dashboard'!R41</f>
        <v>3.0588679283527664</v>
      </c>
      <c r="X12" s="3">
        <f ca="1">'User Dashboard'!S41</f>
        <v>3.2241754324347194</v>
      </c>
      <c r="Y12" s="3">
        <f ca="1">'User Dashboard'!T41</f>
        <v>3.3991996981258326</v>
      </c>
      <c r="Z12" s="3">
        <f ca="1">'User Dashboard'!U41</f>
        <v>3.5850213826908233</v>
      </c>
      <c r="AA12" s="3">
        <f ca="1">'User Dashboard'!V41</f>
        <v>3.7823818929321984</v>
      </c>
      <c r="AB12" s="3">
        <f ca="1">'User Dashboard'!W41</f>
        <v>3.9921493331683426</v>
      </c>
      <c r="AC12" s="3">
        <f ca="1">'User Dashboard'!X41</f>
        <v>4.2152571180992089</v>
      </c>
      <c r="AD12" s="3">
        <f ca="1">'User Dashboard'!Y41</f>
        <v>4.4527088863239834</v>
      </c>
      <c r="AE12" s="3">
        <f ca="1">'User Dashboard'!Z41</f>
        <v>4.7055837835191516</v>
      </c>
      <c r="AF12" s="3">
        <f ca="1">'User Dashboard'!AA41</f>
        <v>4.9750421430875873</v>
      </c>
      <c r="AG12" s="3">
        <f ca="1">'User Dashboard'!AB41</f>
        <v>5.2623315941818314</v>
      </c>
      <c r="AH12" s="3">
        <f ca="1">'User Dashboard'!AC41</f>
        <v>5.5687936292543458</v>
      </c>
      <c r="AI12" s="3">
        <f ca="1">'User Dashboard'!AD41</f>
        <v>5.8958706657064308</v>
      </c>
      <c r="AJ12" s="3">
        <f ca="1">'User Dashboard'!AE41</f>
        <v>6.2451136388085438</v>
      </c>
      <c r="AK12" s="3">
        <f ca="1">'User Dashboard'!AF41</f>
        <v>6.6181901658613214</v>
      </c>
      <c r="AL12" s="3">
        <f ca="1">'User Dashboard'!AG41</f>
        <v>7.0168933245736476</v>
      </c>
      <c r="AM12" s="3">
        <f ca="1">'User Dashboard'!AH41</f>
        <v>7.4431510918673816</v>
      </c>
      <c r="AN12" s="3">
        <f ca="1">'User Dashboard'!AI41</f>
        <v>7.8990364927947931</v>
      </c>
      <c r="AO12" s="3">
        <f ca="1">'User Dashboard'!AJ41</f>
        <v>8.3867785129929224</v>
      </c>
    </row>
    <row r="13" spans="1:41">
      <c r="A13" s="1"/>
      <c r="B13" s="1"/>
      <c r="C13" s="1" t="s">
        <v>6</v>
      </c>
      <c r="D13" s="2">
        <f ca="1">'User Dashboard'!B42</f>
        <v>2.8049783790363199</v>
      </c>
      <c r="E13" s="2">
        <f t="shared" ref="E13:E23" ca="1" si="0">AVERAGE($D$12:$D$23)</f>
        <v>2.5085964451836267</v>
      </c>
      <c r="F13" s="3"/>
      <c r="G13" s="1"/>
      <c r="H13" s="1" t="s">
        <v>6</v>
      </c>
      <c r="I13" s="3">
        <f ca="1">'User Dashboard'!D42</f>
        <v>1.5098155080419875</v>
      </c>
      <c r="J13" s="3">
        <f ca="1">'User Dashboard'!E42</f>
        <v>1.586891638234309</v>
      </c>
      <c r="K13" s="3">
        <f ca="1">'User Dashboard'!F42</f>
        <v>1.667078466146805</v>
      </c>
      <c r="L13" s="3">
        <f ca="1">'User Dashboard'!G42</f>
        <v>1.75617156652573</v>
      </c>
      <c r="M13" s="3">
        <f ca="1">'User Dashboard'!H42</f>
        <v>1.844166953724071</v>
      </c>
      <c r="N13" s="3">
        <f ca="1">'User Dashboard'!I42</f>
        <v>1.9367175400931806</v>
      </c>
      <c r="O13" s="3">
        <f ca="1">'User Dashboard'!J42</f>
        <v>2.0365581715984553</v>
      </c>
      <c r="P13" s="3">
        <f ca="1">'User Dashboard'!K42</f>
        <v>2.1421145695299035</v>
      </c>
      <c r="Q13" s="3">
        <f ca="1">'User Dashboard'!L42</f>
        <v>2.2540627490174545</v>
      </c>
      <c r="R13" s="3">
        <f ca="1">'User Dashboard'!M42</f>
        <v>2.3732234644455223</v>
      </c>
      <c r="S13" s="3">
        <f ca="1">'User Dashboard'!N42</f>
        <v>2.4993457487617721</v>
      </c>
      <c r="T13" s="3">
        <f ca="1">'User Dashboard'!O42</f>
        <v>2.6294210039216779</v>
      </c>
      <c r="U13" s="3">
        <f ca="1">'User Dashboard'!P42</f>
        <v>2.7676528189846716</v>
      </c>
      <c r="V13" s="3">
        <f ca="1">'User Dashboard'!Q42</f>
        <v>2.9143736839705277</v>
      </c>
      <c r="W13" s="3">
        <f ca="1">'User Dashboard'!R42</f>
        <v>3.0702785555475023</v>
      </c>
      <c r="X13" s="3">
        <f ca="1">'User Dashboard'!S42</f>
        <v>3.2358578611302908</v>
      </c>
      <c r="Y13" s="3">
        <f ca="1">'User Dashboard'!T42</f>
        <v>3.4111563024896614</v>
      </c>
      <c r="Z13" s="3">
        <f ca="1">'User Dashboard'!U42</f>
        <v>3.5972515691810516</v>
      </c>
      <c r="AA13" s="3">
        <f ca="1">'User Dashboard'!V42</f>
        <v>3.7948856615488293</v>
      </c>
      <c r="AB13" s="3">
        <f ca="1">'User Dashboard'!W42</f>
        <v>4.0049266839113731</v>
      </c>
      <c r="AC13" s="3">
        <f ca="1">'User Dashboard'!X42</f>
        <v>4.2283080509686384</v>
      </c>
      <c r="AD13" s="3">
        <f ca="1">'User Dashboard'!Y42</f>
        <v>4.466033401319816</v>
      </c>
      <c r="AE13" s="3">
        <f ca="1">'User Dashboard'!Z42</f>
        <v>4.7191818806413828</v>
      </c>
      <c r="AF13" s="3">
        <f ca="1">'User Dashboard'!AA42</f>
        <v>4.9889138223362179</v>
      </c>
      <c r="AG13" s="3">
        <f ca="1">'User Dashboard'!AB42</f>
        <v>5.2764768555568642</v>
      </c>
      <c r="AH13" s="3">
        <f ca="1">'User Dashboard'!AC42</f>
        <v>5.5832124727557781</v>
      </c>
      <c r="AI13" s="3">
        <f ca="1">'User Dashboard'!AD42</f>
        <v>5.9105630913342635</v>
      </c>
      <c r="AJ13" s="3">
        <f ca="1">'User Dashboard'!AE42</f>
        <v>6.2600796465627786</v>
      </c>
      <c r="AK13" s="3">
        <f ca="1">'User Dashboard'!AF42</f>
        <v>6.6334297557419557</v>
      </c>
      <c r="AL13" s="3">
        <f ca="1">'User Dashboard'!AG42</f>
        <v>7.0324064965806814</v>
      </c>
      <c r="AM13" s="3">
        <f ca="1">'User Dashboard'!AH42</f>
        <v>7.4589378460008167</v>
      </c>
      <c r="AN13" s="3">
        <f ca="1">'User Dashboard'!AI42</f>
        <v>7.9150968290546286</v>
      </c>
      <c r="AO13" s="3">
        <f ca="1">'User Dashboard'!AJ42</f>
        <v>8.4031124313791583</v>
      </c>
    </row>
    <row r="14" spans="1:41">
      <c r="A14" s="1"/>
      <c r="B14" s="1"/>
      <c r="C14" s="1" t="s">
        <v>7</v>
      </c>
      <c r="D14" s="2">
        <f ca="1">'User Dashboard'!B43</f>
        <v>2.7497097704927462</v>
      </c>
      <c r="E14" s="2">
        <f t="shared" ca="1" si="0"/>
        <v>2.5085964451836267</v>
      </c>
      <c r="F14" s="3"/>
      <c r="G14" s="1"/>
      <c r="H14" s="1" t="s">
        <v>7</v>
      </c>
      <c r="I14" s="3">
        <f ca="1">'User Dashboard'!D43</f>
        <v>1.4675735390636366</v>
      </c>
      <c r="J14" s="3">
        <f ca="1">'User Dashboard'!E43</f>
        <v>1.5424953988967554</v>
      </c>
      <c r="K14" s="3">
        <f ca="1">'User Dashboard'!F43</f>
        <v>1.6215256949458421</v>
      </c>
      <c r="L14" s="3">
        <f ca="1">'User Dashboard'!G43</f>
        <v>1.7095591702569291</v>
      </c>
      <c r="M14" s="3">
        <f ca="1">'User Dashboard'!H43</f>
        <v>1.7964295407467599</v>
      </c>
      <c r="N14" s="3">
        <f ca="1">'User Dashboard'!I43</f>
        <v>1.8880081818780658</v>
      </c>
      <c r="O14" s="3">
        <f ca="1">'User Dashboard'!J43</f>
        <v>1.9868139236572429</v>
      </c>
      <c r="P14" s="3">
        <f ca="1">'User Dashboard'!K43</f>
        <v>2.091188430888308</v>
      </c>
      <c r="Q14" s="3">
        <f ca="1">'User Dashboard'!L43</f>
        <v>2.2018756674302642</v>
      </c>
      <c r="R14" s="3">
        <f ca="1">'User Dashboard'!M43</f>
        <v>2.3196614432789637</v>
      </c>
      <c r="S14" s="3">
        <f ca="1">'User Dashboard'!N43</f>
        <v>2.4443260188428124</v>
      </c>
      <c r="T14" s="3">
        <f ca="1">'User Dashboard'!O43</f>
        <v>2.5730773388984685</v>
      </c>
      <c r="U14" s="3">
        <f ca="1">'User Dashboard'!P43</f>
        <v>2.7100915366571137</v>
      </c>
      <c r="V14" s="3">
        <f ca="1">'User Dashboard'!Q43</f>
        <v>2.8555447842959492</v>
      </c>
      <c r="W14" s="3">
        <f ca="1">'User Dashboard'!R43</f>
        <v>3.0101322584270966</v>
      </c>
      <c r="X14" s="3">
        <f ca="1">'User Dashboard'!S43</f>
        <v>3.1743417985216578</v>
      </c>
      <c r="Y14" s="3">
        <f ca="1">'User Dashboard'!T43</f>
        <v>3.3483053864210666</v>
      </c>
      <c r="Z14" s="3">
        <f ca="1">'User Dashboard'!U43</f>
        <v>3.5330570716454313</v>
      </c>
      <c r="AA14" s="3">
        <f ca="1">'User Dashboard'!V43</f>
        <v>3.7293475825461782</v>
      </c>
      <c r="AB14" s="3">
        <f ca="1">'User Dashboard'!W43</f>
        <v>3.9380450234416968</v>
      </c>
      <c r="AC14" s="3">
        <f ca="1">'User Dashboard'!X43</f>
        <v>4.1600828090319339</v>
      </c>
      <c r="AD14" s="3">
        <f ca="1">'User Dashboard'!Y43</f>
        <v>4.3964645779160838</v>
      </c>
      <c r="AE14" s="3">
        <f ca="1">'User Dashboard'!Z43</f>
        <v>4.6482694757706255</v>
      </c>
      <c r="AF14" s="3">
        <f ca="1">'User Dashboard'!AA43</f>
        <v>4.916657835998433</v>
      </c>
      <c r="AG14" s="3">
        <f ca="1">'User Dashboard'!AB43</f>
        <v>5.2028772877520515</v>
      </c>
      <c r="AH14" s="3">
        <f ca="1">'User Dashboard'!AC43</f>
        <v>5.5082693234839368</v>
      </c>
      <c r="AI14" s="3">
        <f ca="1">'User Dashboard'!AD43</f>
        <v>5.8342763605953971</v>
      </c>
      <c r="AJ14" s="3">
        <f ca="1">'User Dashboard'!AE43</f>
        <v>6.1824493343568809</v>
      </c>
      <c r="AK14" s="3">
        <f ca="1">'User Dashboard'!AF43</f>
        <v>6.554455862069033</v>
      </c>
      <c r="AL14" s="3">
        <f ca="1">'User Dashboard'!AG43</f>
        <v>6.9520890214407345</v>
      </c>
      <c r="AM14" s="3">
        <f ca="1">'User Dashboard'!AH43</f>
        <v>7.3772767893938385</v>
      </c>
      <c r="AN14" s="3">
        <f ca="1">'User Dashboard'!AI43</f>
        <v>7.8320921909806245</v>
      </c>
      <c r="AO14" s="3">
        <f ca="1">'User Dashboard'!AJ43</f>
        <v>8.3187642118381255</v>
      </c>
    </row>
    <row r="15" spans="1:41">
      <c r="A15" s="1"/>
      <c r="B15" s="1"/>
      <c r="C15" s="1" t="s">
        <v>8</v>
      </c>
      <c r="D15" s="2">
        <f ca="1">'User Dashboard'!B44</f>
        <v>2.3218908981177915</v>
      </c>
      <c r="E15" s="2">
        <f t="shared" ca="1" si="0"/>
        <v>2.5085964451836267</v>
      </c>
      <c r="F15" s="3"/>
      <c r="G15" s="1"/>
      <c r="H15" s="1" t="s">
        <v>8</v>
      </c>
      <c r="I15" s="3">
        <f ca="1">'User Dashboard'!D44</f>
        <v>1.1198082303178349</v>
      </c>
      <c r="J15" s="3">
        <f ca="1">'User Dashboard'!E44</f>
        <v>1.1859680012388738</v>
      </c>
      <c r="K15" s="3">
        <f ca="1">'User Dashboard'!F44</f>
        <v>1.2568709844583907</v>
      </c>
      <c r="L15" s="3">
        <f ca="1">'User Dashboard'!G44</f>
        <v>1.3370790919577078</v>
      </c>
      <c r="M15" s="3">
        <f ca="1">'User Dashboard'!H44</f>
        <v>1.415621531870378</v>
      </c>
      <c r="N15" s="3">
        <f ca="1">'User Dashboard'!I44</f>
        <v>1.4993860615882195</v>
      </c>
      <c r="O15" s="3">
        <f ca="1">'User Dashboard'!J44</f>
        <v>1.5903828017732231</v>
      </c>
      <c r="P15" s="3">
        <f ca="1">'User Dashboard'!K44</f>
        <v>1.6868565286000252</v>
      </c>
      <c r="Q15" s="3">
        <f ca="1">'User Dashboard'!L44</f>
        <v>1.7896489301981737</v>
      </c>
      <c r="R15" s="3">
        <f ca="1">'User Dashboard'!M44</f>
        <v>1.8995531236418546</v>
      </c>
      <c r="S15" s="3">
        <f ca="1">'User Dashboard'!N44</f>
        <v>2.0163065400186797</v>
      </c>
      <c r="T15" s="3">
        <f ca="1">'User Dashboard'!O44</f>
        <v>2.1369652723246797</v>
      </c>
      <c r="U15" s="3">
        <f ca="1">'User Dashboard'!P44</f>
        <v>2.2660654017183135</v>
      </c>
      <c r="V15" s="3">
        <f ca="1">'User Dashboard'!Q44</f>
        <v>2.4036031773812812</v>
      </c>
      <c r="W15" s="3">
        <f ca="1">'User Dashboard'!R44</f>
        <v>2.5502835620852466</v>
      </c>
      <c r="X15" s="3">
        <f ca="1">'User Dashboard'!S44</f>
        <v>2.7065750818487158</v>
      </c>
      <c r="Y15" s="3">
        <f ca="1">'User Dashboard'!T44</f>
        <v>2.8726279366863103</v>
      </c>
      <c r="Z15" s="3">
        <f ca="1">'User Dashboard'!U44</f>
        <v>3.0494670670315336</v>
      </c>
      <c r="AA15" s="3">
        <f ca="1">'User Dashboard'!V44</f>
        <v>3.2378450230531479</v>
      </c>
      <c r="AB15" s="3">
        <f ca="1">'User Dashboard'!W44</f>
        <v>3.4386299090695309</v>
      </c>
      <c r="AC15" s="3">
        <f ca="1">'User Dashboard'!X44</f>
        <v>3.6527551397806297</v>
      </c>
      <c r="AD15" s="3">
        <f ca="1">'User Dashboard'!Y44</f>
        <v>3.8812243537856439</v>
      </c>
      <c r="AE15" s="3">
        <f ca="1">'User Dashboard'!Z44</f>
        <v>4.1251166967610473</v>
      </c>
      <c r="AF15" s="3">
        <f ca="1">'User Dashboard'!AA44</f>
        <v>4.3855925021097182</v>
      </c>
      <c r="AG15" s="3">
        <f ca="1">'User Dashboard'!AB44</f>
        <v>4.663899398984201</v>
      </c>
      <c r="AH15" s="3">
        <f ca="1">'User Dashboard'!AC44</f>
        <v>4.9613788798369489</v>
      </c>
      <c r="AI15" s="3">
        <f ca="1">'User Dashboard'!AD44</f>
        <v>5.2794733620692735</v>
      </c>
      <c r="AJ15" s="3">
        <f ca="1">'User Dashboard'!AE44</f>
        <v>5.6197337809516217</v>
      </c>
      <c r="AK15" s="3">
        <f ca="1">'User Dashboard'!AF44</f>
        <v>5.9838277537846354</v>
      </c>
      <c r="AL15" s="3">
        <f ca="1">'User Dashboard'!AG44</f>
        <v>6.3735483582772003</v>
      </c>
      <c r="AM15" s="3">
        <f ca="1">'User Dashboard'!AH44</f>
        <v>6.7908235713511695</v>
      </c>
      <c r="AN15" s="3">
        <f ca="1">'User Dashboard'!AI44</f>
        <v>7.2377264180588172</v>
      </c>
      <c r="AO15" s="3">
        <f ca="1">'User Dashboard'!AJ44</f>
        <v>7.7164858840371826</v>
      </c>
    </row>
    <row r="16" spans="1:41">
      <c r="A16" s="1"/>
      <c r="B16" s="1"/>
      <c r="C16" s="1" t="s">
        <v>9</v>
      </c>
      <c r="D16" s="2">
        <f ca="1">'User Dashboard'!B45</f>
        <v>2.3461670491477156</v>
      </c>
      <c r="E16" s="2">
        <f t="shared" ca="1" si="0"/>
        <v>2.5085964451836267</v>
      </c>
      <c r="F16" s="3"/>
      <c r="G16" s="1"/>
      <c r="H16" s="1" t="s">
        <v>9</v>
      </c>
      <c r="I16" s="3">
        <f ca="1">'User Dashboard'!D45</f>
        <v>1.1402615802898537</v>
      </c>
      <c r="J16" s="3">
        <f ca="1">'User Dashboard'!E45</f>
        <v>1.2056147818196477</v>
      </c>
      <c r="K16" s="3">
        <f ca="1">'User Dashboard'!F45</f>
        <v>1.2765532595037619</v>
      </c>
      <c r="L16" s="3">
        <f ca="1">'User Dashboard'!G45</f>
        <v>1.3575167978688742</v>
      </c>
      <c r="M16" s="3">
        <f ca="1">'User Dashboard'!H45</f>
        <v>1.4363171959721532</v>
      </c>
      <c r="N16" s="3">
        <f ca="1">'User Dashboard'!I45</f>
        <v>1.5204011125938131</v>
      </c>
      <c r="O16" s="3">
        <f ca="1">'User Dashboard'!J45</f>
        <v>1.6120323297604142</v>
      </c>
      <c r="P16" s="3">
        <f ca="1">'User Dashboard'!K45</f>
        <v>1.7090592263122284</v>
      </c>
      <c r="Q16" s="3">
        <f ca="1">'User Dashboard'!L45</f>
        <v>1.8124502345502447</v>
      </c>
      <c r="R16" s="3">
        <f ca="1">'User Dashboard'!M45</f>
        <v>1.9230261003556008</v>
      </c>
      <c r="S16" s="3">
        <f ca="1">'User Dashboard'!N45</f>
        <v>2.0404410395772596</v>
      </c>
      <c r="T16" s="3">
        <f ca="1">'User Dashboard'!O45</f>
        <v>2.161408111634961</v>
      </c>
      <c r="U16" s="3">
        <f ca="1">'User Dashboard'!P45</f>
        <v>2.2910561891603427</v>
      </c>
      <c r="V16" s="3">
        <f ca="1">'User Dashboard'!Q45</f>
        <v>2.4291623255334338</v>
      </c>
      <c r="W16" s="3">
        <f ca="1">'User Dashboard'!R45</f>
        <v>2.5764471618909743</v>
      </c>
      <c r="X16" s="3">
        <f ca="1">'User Dashboard'!S45</f>
        <v>2.7333492590572335</v>
      </c>
      <c r="Y16" s="3">
        <f ca="1">'User Dashboard'!T45</f>
        <v>2.9000086074648057</v>
      </c>
      <c r="Z16" s="3">
        <f ca="1">'User Dashboard'!U45</f>
        <v>3.0774552523382126</v>
      </c>
      <c r="AA16" s="3">
        <f ca="1">'User Dashboard'!V45</f>
        <v>3.2664407228880101</v>
      </c>
      <c r="AB16" s="3">
        <f ca="1">'User Dashboard'!W45</f>
        <v>3.4678331234325737</v>
      </c>
      <c r="AC16" s="3">
        <f ca="1">'User Dashboard'!X45</f>
        <v>3.6825658686718556</v>
      </c>
      <c r="AD16" s="3">
        <f ca="1">'User Dashboard'!Y45</f>
        <v>3.9116425972050535</v>
      </c>
      <c r="AE16" s="3">
        <f ca="1">'User Dashboard'!Z45</f>
        <v>4.1561424547086405</v>
      </c>
      <c r="AF16" s="3">
        <f ca="1">'User Dashboard'!AA45</f>
        <v>4.4172257745854919</v>
      </c>
      <c r="AG16" s="3">
        <f ca="1">'User Dashboard'!AB45</f>
        <v>4.6961401859881589</v>
      </c>
      <c r="AH16" s="3">
        <f ca="1">'User Dashboard'!AC45</f>
        <v>4.9942271813690891</v>
      </c>
      <c r="AI16" s="3">
        <f ca="1">'User Dashboard'!AD45</f>
        <v>5.3129291781295942</v>
      </c>
      <c r="AJ16" s="3">
        <f ca="1">'User Dashboard'!AE45</f>
        <v>5.6537971115401291</v>
      </c>
      <c r="AK16" s="3">
        <f ca="1">'User Dashboard'!AF45</f>
        <v>6.0184985989013233</v>
      </c>
      <c r="AL16" s="3">
        <f ca="1">'User Dashboard'!AG45</f>
        <v>6.4088267179220688</v>
      </c>
      <c r="AM16" s="3">
        <f ca="1">'User Dashboard'!AH45</f>
        <v>6.8267094455242248</v>
      </c>
      <c r="AN16" s="3">
        <f ca="1">'User Dashboard'!AI45</f>
        <v>7.274219806760053</v>
      </c>
      <c r="AO16" s="3">
        <f ca="1">'User Dashboard'!AJ45</f>
        <v>7.7535867872666016</v>
      </c>
    </row>
    <row r="17" spans="1:41">
      <c r="A17" s="1"/>
      <c r="B17" s="1"/>
      <c r="C17" s="1" t="s">
        <v>10</v>
      </c>
      <c r="D17" s="2">
        <f ca="1">'User Dashboard'!B46</f>
        <v>2.330294436422415</v>
      </c>
      <c r="E17" s="2">
        <f t="shared" ca="1" si="0"/>
        <v>2.5085964451836267</v>
      </c>
      <c r="F17" s="3"/>
      <c r="G17" s="1"/>
      <c r="H17" s="1" t="s">
        <v>10</v>
      </c>
      <c r="I17" s="3">
        <f ca="1">'User Dashboard'!D46</f>
        <v>1.1226329793926531</v>
      </c>
      <c r="J17" s="3">
        <f ca="1">'User Dashboard'!E46</f>
        <v>1.1915829076744107</v>
      </c>
      <c r="K17" s="3">
        <f ca="1">'User Dashboard'!F46</f>
        <v>1.2649428834386947</v>
      </c>
      <c r="L17" s="3">
        <f ca="1">'User Dashboard'!G46</f>
        <v>1.3437058558770705</v>
      </c>
      <c r="M17" s="3">
        <f ca="1">'User Dashboard'!H46</f>
        <v>1.4225901412163968</v>
      </c>
      <c r="N17" s="3">
        <f ca="1">'User Dashboard'!I46</f>
        <v>1.5074696774050416</v>
      </c>
      <c r="O17" s="3">
        <f ca="1">'User Dashboard'!J46</f>
        <v>1.5983292409030732</v>
      </c>
      <c r="P17" s="3">
        <f ca="1">'User Dashboard'!K46</f>
        <v>1.695085802981118</v>
      </c>
      <c r="Q17" s="3">
        <f ca="1">'User Dashboard'!L46</f>
        <v>1.7982371936082435</v>
      </c>
      <c r="R17" s="3">
        <f ca="1">'User Dashboard'!M46</f>
        <v>1.9082826242138153</v>
      </c>
      <c r="S17" s="3">
        <f ca="1">'User Dashboard'!N46</f>
        <v>2.0241647397932017</v>
      </c>
      <c r="T17" s="3">
        <f ca="1">'User Dashboard'!O46</f>
        <v>2.1457538626539856</v>
      </c>
      <c r="U17" s="3">
        <f ca="1">'User Dashboard'!P46</f>
        <v>2.2750652261330506</v>
      </c>
      <c r="V17" s="3">
        <f ca="1">'User Dashboard'!Q46</f>
        <v>2.412880869316596</v>
      </c>
      <c r="W17" s="3">
        <f ca="1">'User Dashboard'!R46</f>
        <v>2.5597474979498012</v>
      </c>
      <c r="X17" s="3">
        <f ca="1">'User Dashboard'!S46</f>
        <v>2.7163445962169548</v>
      </c>
      <c r="Y17" s="3">
        <f ca="1">'User Dashboard'!T46</f>
        <v>2.8826234731752658</v>
      </c>
      <c r="Z17" s="3">
        <f ca="1">'User Dashboard'!U46</f>
        <v>3.0597085147369532</v>
      </c>
      <c r="AA17" s="3">
        <f ca="1">'User Dashboard'!V46</f>
        <v>3.2483323819750307</v>
      </c>
      <c r="AB17" s="3">
        <f ca="1">'User Dashboard'!W46</f>
        <v>3.4493631792078747</v>
      </c>
      <c r="AC17" s="3">
        <f ca="1">'User Dashboard'!X46</f>
        <v>3.6637343211354372</v>
      </c>
      <c r="AD17" s="3">
        <f ca="1">'User Dashboard'!Y46</f>
        <v>3.8924494463569119</v>
      </c>
      <c r="AE17" s="3">
        <f ca="1">'User Dashboard'!Z46</f>
        <v>4.1365877005487794</v>
      </c>
      <c r="AF17" s="3">
        <f ca="1">'User Dashboard'!AA46</f>
        <v>4.3973094171139113</v>
      </c>
      <c r="AG17" s="3">
        <f ca="1">'User Dashboard'!AB46</f>
        <v>4.6758622252048552</v>
      </c>
      <c r="AH17" s="3">
        <f ca="1">'User Dashboard'!AC46</f>
        <v>4.9735876172740658</v>
      </c>
      <c r="AI17" s="3">
        <f ca="1">'User Dashboard'!AD46</f>
        <v>5.2919280107228506</v>
      </c>
      <c r="AJ17" s="3">
        <f ca="1">'User Dashboard'!AE46</f>
        <v>5.6324343408216624</v>
      </c>
      <c r="AK17" s="3">
        <f ca="1">'User Dashboard'!AF46</f>
        <v>5.9967742248711371</v>
      </c>
      <c r="AL17" s="3">
        <f ca="1">'User Dashboard'!AG46</f>
        <v>6.3867407405801631</v>
      </c>
      <c r="AM17" s="3">
        <f ca="1">'User Dashboard'!AH46</f>
        <v>6.8042618648705959</v>
      </c>
      <c r="AN17" s="3">
        <f ca="1">'User Dashboard'!AI46</f>
        <v>7.2514106227947046</v>
      </c>
      <c r="AO17" s="3">
        <f ca="1">'User Dashboard'!AJ46</f>
        <v>7.7304159999895328</v>
      </c>
    </row>
    <row r="18" spans="1:41">
      <c r="A18" s="1"/>
      <c r="B18" s="1"/>
      <c r="C18" s="1" t="s">
        <v>11</v>
      </c>
      <c r="D18" s="2">
        <f ca="1">'User Dashboard'!B47</f>
        <v>2.3350797801195911</v>
      </c>
      <c r="E18" s="2">
        <f t="shared" ca="1" si="0"/>
        <v>2.5085964451836267</v>
      </c>
      <c r="F18" s="3"/>
      <c r="G18" s="1"/>
      <c r="H18" s="1" t="s">
        <v>11</v>
      </c>
      <c r="I18" s="3">
        <f ca="1">'User Dashboard'!D47</f>
        <v>1.1265525797673235</v>
      </c>
      <c r="J18" s="3">
        <f ca="1">'User Dashboard'!E47</f>
        <v>1.1952942352661655</v>
      </c>
      <c r="K18" s="3">
        <f ca="1">'User Dashboard'!F47</f>
        <v>1.268935844228684</v>
      </c>
      <c r="L18" s="3">
        <f ca="1">'User Dashboard'!G47</f>
        <v>1.3476424628360753</v>
      </c>
      <c r="M18" s="3">
        <f ca="1">'User Dashboard'!H47</f>
        <v>1.4265422853763108</v>
      </c>
      <c r="N18" s="3">
        <f ca="1">'User Dashboard'!I47</f>
        <v>1.5116270513199686</v>
      </c>
      <c r="O18" s="3">
        <f ca="1">'User Dashboard'!J47</f>
        <v>1.6026093070873992</v>
      </c>
      <c r="P18" s="3">
        <f ca="1">'User Dashboard'!K47</f>
        <v>1.6995027404178524</v>
      </c>
      <c r="Q18" s="3">
        <f ca="1">'User Dashboard'!L47</f>
        <v>1.8028143573059123</v>
      </c>
      <c r="R18" s="3">
        <f ca="1">'User Dashboard'!M47</f>
        <v>1.9129989635856808</v>
      </c>
      <c r="S18" s="3">
        <f ca="1">'User Dashboard'!N47</f>
        <v>2.028822817494778</v>
      </c>
      <c r="T18" s="3">
        <f ca="1">'User Dashboard'!O47</f>
        <v>2.1505265080576836</v>
      </c>
      <c r="U18" s="3">
        <f ca="1">'User Dashboard'!P47</f>
        <v>2.2799541806816439</v>
      </c>
      <c r="V18" s="3">
        <f ca="1">'User Dashboard'!Q47</f>
        <v>2.4179002346589709</v>
      </c>
      <c r="W18" s="3">
        <f ca="1">'User Dashboard'!R47</f>
        <v>2.5648906875995174</v>
      </c>
      <c r="X18" s="3">
        <f ca="1">'User Dashboard'!S47</f>
        <v>2.7216279491797968</v>
      </c>
      <c r="Y18" s="3">
        <f ca="1">'User Dashboard'!T47</f>
        <v>2.8880360967807137</v>
      </c>
      <c r="Z18" s="3">
        <f ca="1">'User Dashboard'!U47</f>
        <v>3.0652531321526335</v>
      </c>
      <c r="AA18" s="3">
        <f ca="1">'User Dashboard'!V47</f>
        <v>3.2540089932009435</v>
      </c>
      <c r="AB18" s="3">
        <f ca="1">'User Dashboard'!W47</f>
        <v>3.4551717842440195</v>
      </c>
      <c r="AC18" s="3">
        <f ca="1">'User Dashboard'!X47</f>
        <v>3.6696749199818175</v>
      </c>
      <c r="AD18" s="3">
        <f ca="1">'User Dashboard'!Y47</f>
        <v>3.8985220390135251</v>
      </c>
      <c r="AE18" s="3">
        <f ca="1">'User Dashboard'!Z47</f>
        <v>4.1427922870156246</v>
      </c>
      <c r="AF18" s="3">
        <f ca="1">'User Dashboard'!AA47</f>
        <v>4.4036459973909921</v>
      </c>
      <c r="AG18" s="3">
        <f ca="1">'User Dashboard'!AB47</f>
        <v>4.6823307992921679</v>
      </c>
      <c r="AH18" s="3">
        <f ca="1">'User Dashboard'!AC47</f>
        <v>4.980188185171615</v>
      </c>
      <c r="AI18" s="3">
        <f ca="1">'User Dashboard'!AD47</f>
        <v>5.2986605724306326</v>
      </c>
      <c r="AJ18" s="3">
        <f ca="1">'User Dashboard'!AE47</f>
        <v>5.63929889633968</v>
      </c>
      <c r="AK18" s="3">
        <f ca="1">'User Dashboard'!AF47</f>
        <v>6.0037707741993867</v>
      </c>
      <c r="AL18" s="3">
        <f ca="1">'User Dashboard'!AG47</f>
        <v>6.3938692837186455</v>
      </c>
      <c r="AM18" s="3">
        <f ca="1">'User Dashboard'!AH47</f>
        <v>6.811522401819313</v>
      </c>
      <c r="AN18" s="3">
        <f ca="1">'User Dashboard'!AI47</f>
        <v>7.2588031535536546</v>
      </c>
      <c r="AO18" s="3">
        <f ca="1">'User Dashboard'!AJ47</f>
        <v>7.7379405245587183</v>
      </c>
    </row>
    <row r="19" spans="1:41">
      <c r="A19" s="1"/>
      <c r="B19" s="1"/>
      <c r="C19" s="1" t="s">
        <v>12</v>
      </c>
      <c r="D19" s="2">
        <f ca="1">'User Dashboard'!B48</f>
        <v>2.3388098073838726</v>
      </c>
      <c r="E19" s="2">
        <f t="shared" ca="1" si="0"/>
        <v>2.5085964451836267</v>
      </c>
      <c r="F19" s="3"/>
      <c r="G19" s="1"/>
      <c r="H19" s="1" t="s">
        <v>12</v>
      </c>
      <c r="I19" s="3">
        <f ca="1">'User Dashboard'!D48</f>
        <v>1.1296485303625672</v>
      </c>
      <c r="J19" s="3">
        <f ca="1">'User Dashboard'!E48</f>
        <v>1.1981563155964372</v>
      </c>
      <c r="K19" s="3">
        <f ca="1">'User Dashboard'!F48</f>
        <v>1.2720620720825313</v>
      </c>
      <c r="L19" s="3">
        <f ca="1">'User Dashboard'!G48</f>
        <v>1.3506892300913678</v>
      </c>
      <c r="M19" s="3">
        <f ca="1">'User Dashboard'!H48</f>
        <v>1.4295851612580905</v>
      </c>
      <c r="N19" s="3">
        <f ca="1">'User Dashboard'!I48</f>
        <v>1.5148577580071443</v>
      </c>
      <c r="O19" s="3">
        <f ca="1">'User Dashboard'!J48</f>
        <v>1.6059413402215481</v>
      </c>
      <c r="P19" s="3">
        <f ca="1">'User Dashboard'!K48</f>
        <v>1.7029488139068352</v>
      </c>
      <c r="Q19" s="3">
        <f ca="1">'User Dashboard'!L48</f>
        <v>1.8063962417802404</v>
      </c>
      <c r="R19" s="3">
        <f ca="1">'User Dashboard'!M48</f>
        <v>1.916693176635951</v>
      </c>
      <c r="S19" s="3">
        <f ca="1">'User Dashboard'!N48</f>
        <v>2.0324304776116966</v>
      </c>
      <c r="T19" s="3">
        <f ca="1">'User Dashboard'!O48</f>
        <v>2.154225965116626</v>
      </c>
      <c r="U19" s="3">
        <f ca="1">'User Dashboard'!P48</f>
        <v>2.2837465922639741</v>
      </c>
      <c r="V19" s="3">
        <f ca="1">'User Dashboard'!Q48</f>
        <v>2.421798775818806</v>
      </c>
      <c r="W19" s="3">
        <f ca="1">'User Dashboard'!R48</f>
        <v>2.5688876751937082</v>
      </c>
      <c r="X19" s="3">
        <f ca="1">'User Dashboard'!S48</f>
        <v>2.7257388940579901</v>
      </c>
      <c r="Y19" s="3">
        <f ca="1">'User Dashboard'!T48</f>
        <v>2.8922506583764802</v>
      </c>
      <c r="Z19" s="3">
        <f ca="1">'User Dashboard'!U48</f>
        <v>3.0695738956075793</v>
      </c>
      <c r="AA19" s="3">
        <f ca="1">'User Dashboard'!V48</f>
        <v>3.2584359585150664</v>
      </c>
      <c r="AB19" s="3">
        <f ca="1">'User Dashboard'!W48</f>
        <v>3.4597049514173226</v>
      </c>
      <c r="AC19" s="3">
        <f ca="1">'User Dashboard'!X48</f>
        <v>3.6743142890142968</v>
      </c>
      <c r="AD19" s="3">
        <f ca="1">'User Dashboard'!Y48</f>
        <v>3.9032676099051873</v>
      </c>
      <c r="AE19" s="3">
        <f ca="1">'User Dashboard'!Z48</f>
        <v>4.147644059766467</v>
      </c>
      <c r="AF19" s="3">
        <f ca="1">'User Dashboard'!AA48</f>
        <v>4.4086039720010106</v>
      </c>
      <c r="AG19" s="3">
        <f ca="1">'User Dashboard'!AB48</f>
        <v>4.6873949757613662</v>
      </c>
      <c r="AH19" s="3">
        <f ca="1">'User Dashboard'!AC48</f>
        <v>4.9853585634999895</v>
      </c>
      <c r="AI19" s="3">
        <f ca="1">'User Dashboard'!AD48</f>
        <v>5.3039371526181904</v>
      </c>
      <c r="AJ19" s="3">
        <f ca="1">'User Dashboard'!AE48</f>
        <v>5.644681678386414</v>
      </c>
      <c r="AK19" s="3">
        <f ca="1">'User Dashboard'!AF48</f>
        <v>6.0092597581053004</v>
      </c>
      <c r="AL19" s="3">
        <f ca="1">'User Dashboard'!AG48</f>
        <v>6.399464469483739</v>
      </c>
      <c r="AM19" s="3">
        <f ca="1">'User Dashboard'!AH48</f>
        <v>6.8172237894435836</v>
      </c>
      <c r="AN19" s="3">
        <f ca="1">'User Dashboard'!AI48</f>
        <v>7.2646107430371076</v>
      </c>
      <c r="AO19" s="3">
        <f ca="1">'User Dashboard'!AJ48</f>
        <v>7.7438543159013484</v>
      </c>
    </row>
    <row r="20" spans="1:41">
      <c r="A20" s="1"/>
      <c r="B20" s="1"/>
      <c r="C20" s="1" t="s">
        <v>13</v>
      </c>
      <c r="D20" s="2">
        <f ca="1">'User Dashboard'!B49</f>
        <v>2.2962240762940223</v>
      </c>
      <c r="E20" s="2">
        <f t="shared" ca="1" si="0"/>
        <v>2.5085964451836267</v>
      </c>
      <c r="F20" s="3"/>
      <c r="G20" s="1"/>
      <c r="H20" s="1" t="s">
        <v>13</v>
      </c>
      <c r="I20" s="3">
        <f ca="1">'User Dashboard'!D49</f>
        <v>1.0964354939851724</v>
      </c>
      <c r="J20" s="3">
        <f ca="1">'User Dashboard'!E49</f>
        <v>1.163867968528471</v>
      </c>
      <c r="K20" s="3">
        <f ca="1">'User Dashboard'!F49</f>
        <v>1.2370945444169095</v>
      </c>
      <c r="L20" s="3">
        <f ca="1">'User Dashboard'!G49</f>
        <v>1.3147682178665703</v>
      </c>
      <c r="M20" s="3">
        <f ca="1">'User Dashboard'!H49</f>
        <v>1.3928706604921171</v>
      </c>
      <c r="N20" s="3">
        <f ca="1">'User Dashboard'!I49</f>
        <v>1.4774576487194124</v>
      </c>
      <c r="O20" s="3">
        <f ca="1">'User Dashboard'!J49</f>
        <v>1.567682415666201</v>
      </c>
      <c r="P20" s="3">
        <f ca="1">'User Dashboard'!K49</f>
        <v>1.6637729373589953</v>
      </c>
      <c r="Q20" s="3">
        <f ca="1">'User Dashboard'!L49</f>
        <v>1.7662415900359603</v>
      </c>
      <c r="R20" s="3">
        <f ca="1">'User Dashboard'!M49</f>
        <v>1.8754574274691811</v>
      </c>
      <c r="S20" s="3">
        <f ca="1">'User Dashboard'!N49</f>
        <v>1.9900287115739528</v>
      </c>
      <c r="T20" s="3">
        <f ca="1">'User Dashboard'!O49</f>
        <v>2.1109067964257089</v>
      </c>
      <c r="U20" s="3">
        <f ca="1">'User Dashboard'!P49</f>
        <v>2.2394863417155846</v>
      </c>
      <c r="V20" s="3">
        <f ca="1">'User Dashboard'!Q49</f>
        <v>2.3765613450784149</v>
      </c>
      <c r="W20" s="3">
        <f ca="1">'User Dashboard'!R49</f>
        <v>2.5226273005620645</v>
      </c>
      <c r="X20" s="3">
        <f ca="1">'User Dashboard'!S49</f>
        <v>2.6784238000637268</v>
      </c>
      <c r="Y20" s="3">
        <f ca="1">'User Dashboard'!T49</f>
        <v>2.8439020286671712</v>
      </c>
      <c r="Z20" s="3">
        <f ca="1">'User Dashboard'!U49</f>
        <v>3.0201864342713343</v>
      </c>
      <c r="AA20" s="3">
        <f ca="1">'User Dashboard'!V49</f>
        <v>3.208009665551887</v>
      </c>
      <c r="AB20" s="3">
        <f ca="1">'User Dashboard'!W49</f>
        <v>3.4082398268272067</v>
      </c>
      <c r="AC20" s="3">
        <f ca="1">'User Dashboard'!X49</f>
        <v>3.6218103327972475</v>
      </c>
      <c r="AD20" s="3">
        <f ca="1">'User Dashboard'!Y49</f>
        <v>3.8497248220611979</v>
      </c>
      <c r="AE20" s="3">
        <f ca="1">'User Dashboard'!Z49</f>
        <v>4.0930624402955411</v>
      </c>
      <c r="AF20" s="3">
        <f ca="1">'User Dashboard'!AA49</f>
        <v>4.3529835209031509</v>
      </c>
      <c r="AG20" s="3">
        <f ca="1">'User Dashboard'!AB49</f>
        <v>4.6307356930365708</v>
      </c>
      <c r="AH20" s="3">
        <f ca="1">'User Dashboard'!AC49</f>
        <v>4.9276604491482594</v>
      </c>
      <c r="AI20" s="3">
        <f ca="1">'User Dashboard'!AD49</f>
        <v>5.2452002066395211</v>
      </c>
      <c r="AJ20" s="3">
        <f ca="1">'User Dashboard'!AE49</f>
        <v>5.5849059007808108</v>
      </c>
      <c r="AK20" s="3">
        <f ca="1">'User Dashboard'!AF49</f>
        <v>5.9484451488727608</v>
      </c>
      <c r="AL20" s="3">
        <f ca="1">'User Dashboard'!AG49</f>
        <v>6.337611028624262</v>
      </c>
      <c r="AM20" s="3">
        <f ca="1">'User Dashboard'!AH49</f>
        <v>6.7543315169571736</v>
      </c>
      <c r="AN20" s="3">
        <f ca="1">'User Dashboard'!AI49</f>
        <v>7.2006796389237575</v>
      </c>
      <c r="AO20" s="3">
        <f ca="1">'User Dashboard'!AJ49</f>
        <v>7.6788843801610653</v>
      </c>
    </row>
    <row r="21" spans="1:41">
      <c r="A21" s="1"/>
      <c r="B21" s="1"/>
      <c r="C21" s="1" t="s">
        <v>14</v>
      </c>
      <c r="D21" s="2">
        <f ca="1">'User Dashboard'!B50</f>
        <v>2.3005193342595769</v>
      </c>
      <c r="E21" s="2">
        <f t="shared" ca="1" si="0"/>
        <v>2.5085964451836267</v>
      </c>
      <c r="F21" s="3"/>
      <c r="G21" s="1"/>
      <c r="H21" s="1" t="s">
        <v>14</v>
      </c>
      <c r="I21" s="3">
        <f ca="1">'User Dashboard'!D50</f>
        <v>1.0999631275921546</v>
      </c>
      <c r="J21" s="3">
        <f ca="1">'User Dashboard'!E50</f>
        <v>1.1671920607766308</v>
      </c>
      <c r="K21" s="3">
        <f ca="1">'User Dashboard'!F50</f>
        <v>1.2406817818339655</v>
      </c>
      <c r="L21" s="3">
        <f ca="1">'User Dashboard'!G50</f>
        <v>1.3182966268249356</v>
      </c>
      <c r="M21" s="3">
        <f ca="1">'User Dashboard'!H50</f>
        <v>1.3964093020142307</v>
      </c>
      <c r="N21" s="3">
        <f ca="1">'User Dashboard'!I50</f>
        <v>1.481186966860413</v>
      </c>
      <c r="O21" s="3">
        <f ca="1">'User Dashboard'!J50</f>
        <v>1.5715231814639083</v>
      </c>
      <c r="P21" s="3">
        <f ca="1">'User Dashboard'!K50</f>
        <v>1.6677382633109052</v>
      </c>
      <c r="Q21" s="3">
        <f ca="1">'User Dashboard'!L50</f>
        <v>1.7703532668177913</v>
      </c>
      <c r="R21" s="3">
        <f ca="1">'User Dashboard'!M50</f>
        <v>1.8796949187645491</v>
      </c>
      <c r="S21" s="3">
        <f ca="1">'User Dashboard'!N50</f>
        <v>1.9942043612259606</v>
      </c>
      <c r="T21" s="3">
        <f ca="1">'User Dashboard'!O50</f>
        <v>2.1151858594287338</v>
      </c>
      <c r="U21" s="3">
        <f ca="1">'User Dashboard'!P50</f>
        <v>2.2438703347949263</v>
      </c>
      <c r="V21" s="3">
        <f ca="1">'User Dashboard'!Q50</f>
        <v>2.3810634323181432</v>
      </c>
      <c r="W21" s="3">
        <f ca="1">'User Dashboard'!R50</f>
        <v>2.5272409784677863</v>
      </c>
      <c r="X21" s="3">
        <f ca="1">'User Dashboard'!S50</f>
        <v>2.6831643782818619</v>
      </c>
      <c r="Y21" s="3">
        <f ca="1">'User Dashboard'!T50</f>
        <v>2.8487593007667749</v>
      </c>
      <c r="Z21" s="3">
        <f ca="1">'User Dashboard'!U50</f>
        <v>3.0251629518601413</v>
      </c>
      <c r="AA21" s="3">
        <f ca="1">'User Dashboard'!V50</f>
        <v>3.2131054286298979</v>
      </c>
      <c r="AB21" s="3">
        <f ca="1">'User Dashboard'!W50</f>
        <v>3.4134548353944205</v>
      </c>
      <c r="AC21" s="3">
        <f ca="1">'User Dashboard'!X50</f>
        <v>3.627144586853662</v>
      </c>
      <c r="AD21" s="3">
        <f ca="1">'User Dashboard'!Y50</f>
        <v>3.8551783216068189</v>
      </c>
      <c r="AE21" s="3">
        <f ca="1">'User Dashboard'!Z50</f>
        <v>4.0986351853303651</v>
      </c>
      <c r="AF21" s="3">
        <f ca="1">'User Dashboard'!AA50</f>
        <v>4.358675511427176</v>
      </c>
      <c r="AG21" s="3">
        <f ca="1">'User Dashboard'!AB50</f>
        <v>4.6365469290498016</v>
      </c>
      <c r="AH21" s="3">
        <f ca="1">'User Dashboard'!AC50</f>
        <v>4.9335909306506913</v>
      </c>
      <c r="AI21" s="3">
        <f ca="1">'User Dashboard'!AD50</f>
        <v>5.251249933631156</v>
      </c>
      <c r="AJ21" s="3">
        <f ca="1">'User Dashboard'!AE50</f>
        <v>5.5910748732616495</v>
      </c>
      <c r="AK21" s="3">
        <f ca="1">'User Dashboard'!AF50</f>
        <v>5.9547333668428033</v>
      </c>
      <c r="AL21" s="3">
        <f ca="1">'User Dashboard'!AG50</f>
        <v>6.3440184920835083</v>
      </c>
      <c r="AM21" s="3">
        <f ca="1">'User Dashboard'!AH50</f>
        <v>6.7608582259056229</v>
      </c>
      <c r="AN21" s="3">
        <f ca="1">'User Dashboard'!AI50</f>
        <v>7.2073255933614107</v>
      </c>
      <c r="AO21" s="3">
        <f ca="1">'User Dashboard'!AJ50</f>
        <v>7.6856495800879179</v>
      </c>
    </row>
    <row r="22" spans="1:41">
      <c r="A22" s="1"/>
      <c r="B22" s="1"/>
      <c r="C22" s="1" t="s">
        <v>15</v>
      </c>
      <c r="D22" s="2">
        <f ca="1">'User Dashboard'!B51</f>
        <v>2.7197086873402871</v>
      </c>
      <c r="E22" s="2">
        <f t="shared" ca="1" si="0"/>
        <v>2.5085964451836267</v>
      </c>
      <c r="F22" s="3"/>
      <c r="G22" s="1"/>
      <c r="H22" s="1" t="s">
        <v>15</v>
      </c>
      <c r="I22" s="3">
        <f ca="1">'User Dashboard'!D51</f>
        <v>1.4423044881450025</v>
      </c>
      <c r="J22" s="3">
        <f ca="1">'User Dashboard'!E51</f>
        <v>1.5167716161250495</v>
      </c>
      <c r="K22" s="3">
        <f ca="1">'User Dashboard'!F51</f>
        <v>1.5980878583024649</v>
      </c>
      <c r="L22" s="3">
        <f ca="1">'User Dashboard'!G51</f>
        <v>1.6834109217229591</v>
      </c>
      <c r="M22" s="3">
        <f ca="1">'User Dashboard'!H51</f>
        <v>1.7694959418091181</v>
      </c>
      <c r="N22" s="3">
        <f ca="1">'User Dashboard'!I51</f>
        <v>1.8619639887110733</v>
      </c>
      <c r="O22" s="3">
        <f ca="1">'User Dashboard'!J51</f>
        <v>1.9600643484407885</v>
      </c>
      <c r="P22" s="3">
        <f ca="1">'User Dashboard'!K51</f>
        <v>2.0640373908452689</v>
      </c>
      <c r="Q22" s="3">
        <f ca="1">'User Dashboard'!L51</f>
        <v>2.1744091129963108</v>
      </c>
      <c r="R22" s="3">
        <f ca="1">'User Dashboard'!M51</f>
        <v>2.2914669458230472</v>
      </c>
      <c r="S22" s="3">
        <f ca="1">'User Dashboard'!N51</f>
        <v>2.4135429298354008</v>
      </c>
      <c r="T22" s="3">
        <f ca="1">'User Dashboard'!O51</f>
        <v>2.5422678942540613</v>
      </c>
      <c r="U22" s="3">
        <f ca="1">'User Dashboard'!P51</f>
        <v>2.6786907169723984</v>
      </c>
      <c r="V22" s="3">
        <f ca="1">'User Dashboard'!Q51</f>
        <v>2.8236217362484588</v>
      </c>
      <c r="W22" s="3">
        <f ca="1">'User Dashboard'!R51</f>
        <v>2.9775208966268609</v>
      </c>
      <c r="X22" s="3">
        <f ca="1">'User Dashboard'!S51</f>
        <v>3.1411680665467991</v>
      </c>
      <c r="Y22" s="3">
        <f ca="1">'User Dashboard'!T51</f>
        <v>3.3144853218861705</v>
      </c>
      <c r="Z22" s="3">
        <f ca="1">'User Dashboard'!U51</f>
        <v>3.4986116651468508</v>
      </c>
      <c r="AA22" s="3">
        <f ca="1">'User Dashboard'!V51</f>
        <v>3.6942768340839152</v>
      </c>
      <c r="AB22" s="3">
        <f ca="1">'User Dashboard'!W51</f>
        <v>3.9023489330157459</v>
      </c>
      <c r="AC22" s="3">
        <f ca="1">'User Dashboard'!X51</f>
        <v>4.1237613766423014</v>
      </c>
      <c r="AD22" s="3">
        <f ca="1">'User Dashboard'!Y51</f>
        <v>4.359517803562766</v>
      </c>
      <c r="AE22" s="3">
        <f ca="1">'User Dashboard'!Z51</f>
        <v>4.6106973594536234</v>
      </c>
      <c r="AF22" s="3">
        <f ca="1">'User Dashboard'!AA51</f>
        <v>4.8784603777177482</v>
      </c>
      <c r="AG22" s="3">
        <f ca="1">'User Dashboard'!AB51</f>
        <v>5.1640544875076815</v>
      </c>
      <c r="AH22" s="3">
        <f ca="1">'User Dashboard'!AC51</f>
        <v>5.4688211812758825</v>
      </c>
      <c r="AI22" s="3">
        <f ca="1">'User Dashboard'!AD51</f>
        <v>5.7942028764236575</v>
      </c>
      <c r="AJ22" s="3">
        <f ca="1">'User Dashboard'!AE51</f>
        <v>6.1417505082214596</v>
      </c>
      <c r="AK22" s="3">
        <f ca="1">'User Dashboard'!AF51</f>
        <v>6.5131316939699264</v>
      </c>
      <c r="AL22" s="3">
        <f ca="1">'User Dashboard'!AG51</f>
        <v>6.9101395113779418</v>
      </c>
      <c r="AM22" s="3">
        <f ca="1">'User Dashboard'!AH51</f>
        <v>7.334701937367365</v>
      </c>
      <c r="AN22" s="3">
        <f ca="1">'User Dashboard'!AI51</f>
        <v>7.7888919969904666</v>
      </c>
      <c r="AO22" s="3">
        <f ca="1">'User Dashboard'!AJ51</f>
        <v>8.2749386758842824</v>
      </c>
    </row>
    <row r="23" spans="1:41">
      <c r="A23" s="1"/>
      <c r="B23" s="1"/>
      <c r="C23" s="1" t="s">
        <v>16</v>
      </c>
      <c r="D23" s="2">
        <f ca="1">'User Dashboard'!B52</f>
        <v>2.7654719085012376</v>
      </c>
      <c r="E23" s="2">
        <f t="shared" ca="1" si="0"/>
        <v>2.5085964451836267</v>
      </c>
      <c r="F23" s="3"/>
      <c r="G23" s="1"/>
      <c r="H23" s="1" t="s">
        <v>16</v>
      </c>
      <c r="I23" s="3">
        <f ca="1">'User Dashboard'!D52</f>
        <v>1.4783895260873268</v>
      </c>
      <c r="J23" s="3">
        <f ca="1">'User Dashboard'!E52</f>
        <v>1.5533207738416765</v>
      </c>
      <c r="K23" s="3">
        <f ca="1">'User Dashboard'!F52</f>
        <v>1.6357982215028546</v>
      </c>
      <c r="L23" s="3">
        <f ca="1">'User Dashboard'!G52</f>
        <v>1.721802419214991</v>
      </c>
      <c r="M23" s="3">
        <f ca="1">'User Dashboard'!H52</f>
        <v>1.8085854489350304</v>
      </c>
      <c r="N23" s="3">
        <f ca="1">'User Dashboard'!I52</f>
        <v>1.9020595736732806</v>
      </c>
      <c r="O23" s="3">
        <f ca="1">'User Dashboard'!J52</f>
        <v>2.001137846172905</v>
      </c>
      <c r="P23" s="3">
        <f ca="1">'User Dashboard'!K52</f>
        <v>2.1061673399110057</v>
      </c>
      <c r="Q23" s="3">
        <f ca="1">'User Dashboard'!L52</f>
        <v>2.2176964213123389</v>
      </c>
      <c r="R23" s="3">
        <f ca="1">'User Dashboard'!M52</f>
        <v>2.3359531884207634</v>
      </c>
      <c r="S23" s="3">
        <f ca="1">'User Dashboard'!N52</f>
        <v>2.4588845140899958</v>
      </c>
      <c r="T23" s="3">
        <f ca="1">'User Dashboard'!O52</f>
        <v>2.5886194497153419</v>
      </c>
      <c r="U23" s="3">
        <f ca="1">'User Dashboard'!P52</f>
        <v>2.7260757580957766</v>
      </c>
      <c r="V23" s="3">
        <f ca="1">'User Dashboard'!Q52</f>
        <v>2.8721001591832573</v>
      </c>
      <c r="W23" s="3">
        <f ca="1">'User Dashboard'!R52</f>
        <v>3.0271172380998239</v>
      </c>
      <c r="X23" s="3">
        <f ca="1">'User Dashboard'!S52</f>
        <v>3.1919432983516667</v>
      </c>
      <c r="Y23" s="3">
        <f ca="1">'User Dashboard'!T52</f>
        <v>3.3663987961604489</v>
      </c>
      <c r="Z23" s="3">
        <f ca="1">'User Dashboard'!U52</f>
        <v>3.5516735438561615</v>
      </c>
      <c r="AA23" s="3">
        <f ca="1">'User Dashboard'!V52</f>
        <v>3.7484871172282621</v>
      </c>
      <c r="AB23" s="3">
        <f ca="1">'User Dashboard'!W52</f>
        <v>3.9577076205951287</v>
      </c>
      <c r="AC23" s="3">
        <f ca="1">'User Dashboard'!X52</f>
        <v>4.1802684686567169</v>
      </c>
      <c r="AD23" s="3">
        <f ca="1">'User Dashboard'!Y52</f>
        <v>4.4171733000122169</v>
      </c>
      <c r="AE23" s="3">
        <f ca="1">'User Dashboard'!Z52</f>
        <v>4.669501260338107</v>
      </c>
      <c r="AF23" s="3">
        <f ca="1">'User Dashboard'!AA52</f>
        <v>4.9384126830372646</v>
      </c>
      <c r="AG23" s="3">
        <f ca="1">'User Dashboard'!AB52</f>
        <v>5.2251551972622341</v>
      </c>
      <c r="AH23" s="3">
        <f ca="1">'User Dashboard'!AC52</f>
        <v>5.5310702954654705</v>
      </c>
      <c r="AI23" s="3">
        <f ca="1">'User Dashboard'!AD52</f>
        <v>5.8576003950482791</v>
      </c>
      <c r="AJ23" s="3">
        <f ca="1">'User Dashboard'!AE52</f>
        <v>6.2062964312811157</v>
      </c>
      <c r="AK23" s="3">
        <f ca="1">'User Dashboard'!AF52</f>
        <v>6.578826021464617</v>
      </c>
      <c r="AL23" s="3">
        <f ca="1">'User Dashboard'!AG52</f>
        <v>6.9769822433076651</v>
      </c>
      <c r="AM23" s="3">
        <f ca="1">'User Dashboard'!AH52</f>
        <v>7.4026930737321237</v>
      </c>
      <c r="AN23" s="3">
        <f ca="1">'User Dashboard'!AI52</f>
        <v>7.8580315377902572</v>
      </c>
      <c r="AO23" s="3">
        <f ca="1">'User Dashboard'!AJ52</f>
        <v>8.3452266211191084</v>
      </c>
    </row>
    <row r="24" spans="1:41">
      <c r="A24" s="1"/>
      <c r="B24" s="1"/>
      <c r="C24" s="1"/>
      <c r="D24" s="2"/>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1">
      <c r="A25" s="1"/>
      <c r="B25" s="1"/>
      <c r="C25" s="1"/>
      <c r="D25" s="2"/>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c r="A26" s="1"/>
      <c r="B26" s="1"/>
      <c r="C26" s="1"/>
      <c r="D26" s="2"/>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c r="A27" s="1"/>
      <c r="B27" s="1"/>
      <c r="C27" s="1"/>
      <c r="D27" s="2"/>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c r="A28" s="1"/>
      <c r="B28" s="1"/>
      <c r="C28" s="1"/>
      <c r="D28" s="2"/>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c r="A29" s="1"/>
      <c r="B29" s="1"/>
      <c r="C29" s="1"/>
      <c r="D29" s="2"/>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c r="A30" s="1"/>
      <c r="B30" s="1"/>
      <c r="C30" s="1"/>
      <c r="D30" s="2"/>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sheetData>
  <mergeCells count="1">
    <mergeCell ref="A1:G2"/>
  </mergeCells>
  <phoneticPr fontId="11"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sheetPr>
  <dimension ref="A1:AO255"/>
  <sheetViews>
    <sheetView zoomScale="59" zoomScaleNormal="59" workbookViewId="0">
      <selection activeCell="H47" sqref="H47"/>
    </sheetView>
  </sheetViews>
  <sheetFormatPr defaultColWidth="9" defaultRowHeight="13.8"/>
  <cols>
    <col min="2" max="2" width="12" customWidth="1"/>
    <col min="4" max="4" width="10" customWidth="1"/>
    <col min="5" max="5" width="6.5546875" customWidth="1"/>
    <col min="6" max="6" width="47.33203125" customWidth="1"/>
    <col min="7" max="7" width="24.33203125" customWidth="1"/>
    <col min="8" max="24" width="9.5546875" customWidth="1"/>
    <col min="25" max="25" width="11.44140625" bestFit="1" customWidth="1"/>
    <col min="26" max="27" width="9.5546875" customWidth="1"/>
  </cols>
  <sheetData>
    <row r="1" spans="1:41" ht="14.4">
      <c r="B1" s="24"/>
      <c r="C1" s="24"/>
      <c r="D1" s="24"/>
      <c r="E1" s="24" t="s">
        <v>65</v>
      </c>
      <c r="F1" s="24"/>
      <c r="G1" s="24"/>
      <c r="H1" s="2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row>
    <row r="2" spans="1:41" ht="14.4">
      <c r="B2" s="79"/>
      <c r="C2" s="79"/>
      <c r="D2" s="79"/>
      <c r="E2" s="79"/>
      <c r="F2" s="5" t="s">
        <v>369</v>
      </c>
      <c r="G2" s="98">
        <f>MATCH(G3,'IEPR Gas Prices Nominal'!$V$2:$AO$2,0)</f>
        <v>3</v>
      </c>
      <c r="H2" s="98">
        <f>MATCH(H3,'IEPR Gas Prices Nominal'!$V$2:$AO$2,0)</f>
        <v>4</v>
      </c>
      <c r="I2" s="98">
        <f>MATCH(I3,'IEPR Gas Prices Nominal'!$V$2:$AO$2,0)</f>
        <v>5</v>
      </c>
      <c r="J2" s="98">
        <f>MATCH(J3,'IEPR Gas Prices Nominal'!$V$2:$AO$2,0)</f>
        <v>6</v>
      </c>
      <c r="K2" s="98">
        <f>MATCH(K3,'IEPR Gas Prices Nominal'!$V$2:$AO$2,0)</f>
        <v>7</v>
      </c>
      <c r="L2" s="98">
        <f>MATCH(L3,'IEPR Gas Prices Nominal'!$V$2:$AO$2,0)</f>
        <v>8</v>
      </c>
      <c r="M2" s="98">
        <f>MATCH(M3,'IEPR Gas Prices Nominal'!$V$2:$AO$2,0)</f>
        <v>9</v>
      </c>
      <c r="N2" s="98">
        <f>MATCH(N3,'IEPR Gas Prices Nominal'!$V$2:$AO$2,0)</f>
        <v>10</v>
      </c>
      <c r="O2" s="98">
        <f>MATCH(O3,'IEPR Gas Prices Nominal'!$V$2:$AO$2,0)</f>
        <v>11</v>
      </c>
      <c r="P2" s="98">
        <f>MATCH(P3,'IEPR Gas Prices Nominal'!$V$2:$AO$2,0)</f>
        <v>12</v>
      </c>
      <c r="Q2" s="98">
        <f>MATCH(Q3,'IEPR Gas Prices Nominal'!$V$2:$AO$2,0)</f>
        <v>13</v>
      </c>
      <c r="R2" s="98">
        <f>MATCH(R3,'IEPR Gas Prices Nominal'!$V$2:$AO$2,0)</f>
        <v>14</v>
      </c>
      <c r="S2" s="98">
        <f>MATCH(S3,'IEPR Gas Prices Nominal'!$V$2:$AO$2,0)</f>
        <v>15</v>
      </c>
      <c r="T2" s="98">
        <f>MATCH(T3,'IEPR Gas Prices Nominal'!$V$2:$AO$2,0)</f>
        <v>16</v>
      </c>
      <c r="U2" s="98">
        <f>MATCH(U3,'IEPR Gas Prices Nominal'!$V$2:$AO$2,0)</f>
        <v>17</v>
      </c>
      <c r="V2" s="98">
        <f>MATCH(V3,'IEPR Gas Prices Nominal'!$V$2:$AO$2,0)</f>
        <v>18</v>
      </c>
      <c r="W2" s="98">
        <f>MATCH(W3,'IEPR Gas Prices Nominal'!$V$2:$AO$2,0)</f>
        <v>19</v>
      </c>
      <c r="X2" s="98"/>
      <c r="Y2" s="98"/>
      <c r="Z2" s="98"/>
      <c r="AA2" s="98"/>
      <c r="AB2" s="98"/>
      <c r="AC2" s="98"/>
      <c r="AD2" s="98"/>
      <c r="AE2" s="98"/>
      <c r="AF2" s="98"/>
      <c r="AG2" s="98"/>
      <c r="AH2" s="98"/>
      <c r="AI2" s="98"/>
      <c r="AJ2" s="98"/>
      <c r="AK2" s="98"/>
      <c r="AL2" s="98"/>
      <c r="AM2" s="98"/>
      <c r="AN2" s="98"/>
      <c r="AO2" s="80"/>
    </row>
    <row r="3" spans="1:41" ht="14.4">
      <c r="G3" s="102">
        <v>2019</v>
      </c>
      <c r="H3" s="54">
        <v>2020</v>
      </c>
      <c r="I3" s="54">
        <v>2021</v>
      </c>
      <c r="J3" s="54">
        <v>2022</v>
      </c>
      <c r="K3" s="54">
        <v>2023</v>
      </c>
      <c r="L3" s="54">
        <v>2024</v>
      </c>
      <c r="M3" s="54">
        <v>2025</v>
      </c>
      <c r="N3" s="54">
        <v>2026</v>
      </c>
      <c r="O3" s="54">
        <v>2027</v>
      </c>
      <c r="P3" s="54">
        <v>2028</v>
      </c>
      <c r="Q3" s="54">
        <v>2029</v>
      </c>
      <c r="R3" s="54">
        <v>2030</v>
      </c>
      <c r="S3" s="54">
        <v>2031</v>
      </c>
      <c r="T3" s="54">
        <v>2032</v>
      </c>
      <c r="U3" s="54">
        <v>2033</v>
      </c>
      <c r="V3" s="54">
        <v>2034</v>
      </c>
      <c r="W3" s="54">
        <v>2035</v>
      </c>
      <c r="X3" s="54">
        <v>2036</v>
      </c>
      <c r="Y3" s="54">
        <v>2037</v>
      </c>
      <c r="Z3" s="54">
        <v>2038</v>
      </c>
      <c r="AA3" s="54">
        <v>2039</v>
      </c>
      <c r="AB3" s="54">
        <v>2040</v>
      </c>
      <c r="AC3" s="54">
        <v>2041</v>
      </c>
      <c r="AD3" s="54">
        <v>2042</v>
      </c>
      <c r="AE3" s="54">
        <v>2043</v>
      </c>
      <c r="AF3" s="54">
        <v>2044</v>
      </c>
      <c r="AG3" s="54">
        <v>2045</v>
      </c>
      <c r="AH3" s="54">
        <v>2046</v>
      </c>
      <c r="AI3" s="54">
        <v>2047</v>
      </c>
      <c r="AJ3" s="54">
        <v>2048</v>
      </c>
      <c r="AK3" s="54">
        <v>2049</v>
      </c>
      <c r="AL3" s="54">
        <v>2050</v>
      </c>
      <c r="AM3" s="54">
        <v>2051</v>
      </c>
      <c r="AN3" s="54">
        <v>2052</v>
      </c>
    </row>
    <row r="4" spans="1:41" ht="14.4">
      <c r="D4" s="65"/>
      <c r="E4" s="53" t="s">
        <v>106</v>
      </c>
      <c r="F4" s="53">
        <v>36526</v>
      </c>
      <c r="G4" s="96">
        <f ca="1">OFFSET('IEPR Gas Prices Nominal'!$U3,0,G$2)</f>
        <v>3.6219880960430171</v>
      </c>
      <c r="H4" s="96">
        <f ca="1">OFFSET('IEPR Gas Prices Nominal'!$U3,0,H$2)</f>
        <v>3.8872266376219691</v>
      </c>
      <c r="I4" s="96">
        <f ca="1">OFFSET('IEPR Gas Prices Nominal'!$U3,0,I$2)</f>
        <v>3.9936356590144135</v>
      </c>
      <c r="J4" s="96">
        <f ca="1">OFFSET('IEPR Gas Prices Nominal'!$U3,0,J$2)</f>
        <v>4.0740226382291063</v>
      </c>
      <c r="K4" s="96">
        <f ca="1">OFFSET('IEPR Gas Prices Nominal'!$U3,0,K$2)</f>
        <v>4.1835655136335532</v>
      </c>
      <c r="L4" s="96">
        <f ca="1">OFFSET('IEPR Gas Prices Nominal'!$U3,0,L$2)</f>
        <v>4.2728550339513154</v>
      </c>
      <c r="M4" s="96">
        <f ca="1">OFFSET('IEPR Gas Prices Nominal'!$U3,0,M$2)</f>
        <v>4.3547881252667056</v>
      </c>
      <c r="N4" s="96">
        <f ca="1">OFFSET('IEPR Gas Prices Nominal'!$U3,0,N$2)</f>
        <v>4.4566442063266987</v>
      </c>
      <c r="O4" s="96">
        <f ca="1">OFFSET('IEPR Gas Prices Nominal'!$U3,0,O$2)</f>
        <v>4.5644570802191646</v>
      </c>
      <c r="P4" s="96">
        <f ca="1">OFFSET('IEPR Gas Prices Nominal'!$U3,0,P$2)</f>
        <v>4.6799000630177083</v>
      </c>
      <c r="Q4" s="96">
        <f ca="1">OFFSET('IEPR Gas Prices Nominal'!$U3,0,Q$2)</f>
        <v>4.8067205209102886</v>
      </c>
      <c r="R4" s="96">
        <f ca="1">OFFSET('IEPR Gas Prices Nominal'!$U3,0,R$2)</f>
        <v>4.9386639804852992</v>
      </c>
      <c r="S4" s="96">
        <f ca="1">OFFSET('IEPR Gas Prices Nominal'!$U3,0,S$2)</f>
        <v>5.0439779882697389</v>
      </c>
      <c r="T4" s="96">
        <f ca="1">OFFSET('IEPR Gas Prices Nominal'!$U3,0,T$2)</f>
        <v>5.1539604251435716</v>
      </c>
      <c r="U4" s="96">
        <f ca="1">OFFSET('IEPR Gas Prices Nominal'!$U3,0,U$2)</f>
        <v>5.268355482985867</v>
      </c>
      <c r="V4" s="96">
        <f ca="1">OFFSET('IEPR Gas Prices Nominal'!$U3,0,V$2)</f>
        <v>5.3879266202513962</v>
      </c>
      <c r="W4" s="96">
        <f ca="1">OFFSET('IEPR Gas Prices Nominal'!$U3,0,W$2)</f>
        <v>5.5113620397113152</v>
      </c>
      <c r="X4" s="74" cm="1">
        <f t="array" aca="1" ref="X4:AN4" ca="1">TREND(U4:W4,$U$25:$W$25,$X$25:$AN$25)</f>
        <v>5.6322212710416295</v>
      </c>
      <c r="Y4" s="74">
        <f ca="1"/>
        <v>5.7537245494043532</v>
      </c>
      <c r="Z4" s="74">
        <f ca="1"/>
        <v>5.8752278277670769</v>
      </c>
      <c r="AA4" s="74">
        <f ca="1"/>
        <v>5.9967311061298005</v>
      </c>
      <c r="AB4" s="74">
        <f ca="1"/>
        <v>6.1182343844925242</v>
      </c>
      <c r="AC4" s="74">
        <f ca="1"/>
        <v>6.2397376628552479</v>
      </c>
      <c r="AD4" s="74">
        <f ca="1"/>
        <v>6.3612409412179716</v>
      </c>
      <c r="AE4" s="74">
        <f ca="1"/>
        <v>6.4827442195806952</v>
      </c>
      <c r="AF4" s="74">
        <f ca="1"/>
        <v>6.6042474979434189</v>
      </c>
      <c r="AG4" s="74">
        <f ca="1"/>
        <v>6.7257507763061426</v>
      </c>
      <c r="AH4" s="74">
        <f ca="1"/>
        <v>6.8472540546688663</v>
      </c>
      <c r="AI4" s="74">
        <f ca="1"/>
        <v>6.96875733303159</v>
      </c>
      <c r="AJ4" s="74">
        <f ca="1"/>
        <v>7.0902606113943136</v>
      </c>
      <c r="AK4" s="74">
        <f ca="1"/>
        <v>7.2117638897570373</v>
      </c>
      <c r="AL4" s="74">
        <f ca="1"/>
        <v>7.333267168119761</v>
      </c>
      <c r="AM4" s="74">
        <f ca="1"/>
        <v>7.4547704464824847</v>
      </c>
      <c r="AN4" s="74">
        <f ca="1"/>
        <v>7.5762737248452083</v>
      </c>
    </row>
    <row r="5" spans="1:41" ht="14.4">
      <c r="E5" s="53" t="s">
        <v>107</v>
      </c>
      <c r="F5" s="53">
        <v>36557</v>
      </c>
      <c r="G5" s="96">
        <f ca="1">OFFSET('IEPR Gas Prices Nominal'!$U4,0,G$2)</f>
        <v>3.6966948778449034</v>
      </c>
      <c r="H5" s="96">
        <f ca="1">OFFSET('IEPR Gas Prices Nominal'!$U4,0,H$2)</f>
        <v>3.9819241472681797</v>
      </c>
      <c r="I5" s="96">
        <f ca="1">OFFSET('IEPR Gas Prices Nominal'!$U4,0,I$2)</f>
        <v>4.0785261807953566</v>
      </c>
      <c r="J5" s="96">
        <f ca="1">OFFSET('IEPR Gas Prices Nominal'!$U4,0,J$2)</f>
        <v>4.1573555286942012</v>
      </c>
      <c r="K5" s="96">
        <f ca="1">OFFSET('IEPR Gas Prices Nominal'!$U4,0,K$2)</f>
        <v>4.2711917076037667</v>
      </c>
      <c r="L5" s="96">
        <f ca="1">OFFSET('IEPR Gas Prices Nominal'!$U4,0,L$2)</f>
        <v>4.3607340594912039</v>
      </c>
      <c r="M5" s="96">
        <f ca="1">OFFSET('IEPR Gas Prices Nominal'!$U4,0,M$2)</f>
        <v>4.4436494028704878</v>
      </c>
      <c r="N5" s="96">
        <f ca="1">OFFSET('IEPR Gas Prices Nominal'!$U4,0,N$2)</f>
        <v>4.5488809955068819</v>
      </c>
      <c r="O5" s="96">
        <f ca="1">OFFSET('IEPR Gas Prices Nominal'!$U4,0,O$2)</f>
        <v>4.6591923108466302</v>
      </c>
      <c r="P5" s="96">
        <f ca="1">OFFSET('IEPR Gas Prices Nominal'!$U4,0,P$2)</f>
        <v>4.7773676124641824</v>
      </c>
      <c r="Q5" s="96">
        <f ca="1">OFFSET('IEPR Gas Prices Nominal'!$U4,0,Q$2)</f>
        <v>4.9073173444548459</v>
      </c>
      <c r="R5" s="96">
        <f ca="1">OFFSET('IEPR Gas Prices Nominal'!$U4,0,R$2)</f>
        <v>5.042178189183935</v>
      </c>
      <c r="S5" s="96">
        <f ca="1">OFFSET('IEPR Gas Prices Nominal'!$U4,0,S$2)</f>
        <v>5.1478274858396427</v>
      </c>
      <c r="T5" s="96">
        <f ca="1">OFFSET('IEPR Gas Prices Nominal'!$U4,0,T$2)</f>
        <v>5.2602102520863996</v>
      </c>
      <c r="U5" s="96">
        <f ca="1">OFFSET('IEPR Gas Prices Nominal'!$U4,0,U$2)</f>
        <v>5.3770876814310453</v>
      </c>
      <c r="V5" s="96">
        <f ca="1">OFFSET('IEPR Gas Prices Nominal'!$U4,0,V$2)</f>
        <v>5.4993476454904977</v>
      </c>
      <c r="W5" s="96">
        <f ca="1">OFFSET('IEPR Gas Prices Nominal'!$U4,0,W$2)</f>
        <v>5.62543711729721</v>
      </c>
      <c r="X5" s="74" cm="1">
        <f t="array" aca="1" ref="X5:AN5" ca="1">TREND(U5:W5,$U$25:$W$25,$X$25:$AN$25)</f>
        <v>5.7489735839390903</v>
      </c>
      <c r="Y5" s="74">
        <f ca="1"/>
        <v>5.8731483018721633</v>
      </c>
      <c r="Z5" s="74">
        <f ca="1"/>
        <v>5.9973230198052647</v>
      </c>
      <c r="AA5" s="74">
        <f ca="1"/>
        <v>6.1214977377383377</v>
      </c>
      <c r="AB5" s="74">
        <f ca="1"/>
        <v>6.2456724556714107</v>
      </c>
      <c r="AC5" s="74">
        <f ca="1"/>
        <v>6.3698471736045121</v>
      </c>
      <c r="AD5" s="74">
        <f ca="1"/>
        <v>6.4940218915375851</v>
      </c>
      <c r="AE5" s="74">
        <f ca="1"/>
        <v>6.6181966094706581</v>
      </c>
      <c r="AF5" s="74">
        <f ca="1"/>
        <v>6.7423713274037596</v>
      </c>
      <c r="AG5" s="74">
        <f ca="1"/>
        <v>6.8665460453368325</v>
      </c>
      <c r="AH5" s="74">
        <f ca="1"/>
        <v>6.9907207632699055</v>
      </c>
      <c r="AI5" s="74">
        <f ca="1"/>
        <v>7.114895481203007</v>
      </c>
      <c r="AJ5" s="74">
        <f ca="1"/>
        <v>7.23907019913608</v>
      </c>
      <c r="AK5" s="74">
        <f ca="1"/>
        <v>7.363244917069153</v>
      </c>
      <c r="AL5" s="74">
        <f ca="1"/>
        <v>7.4874196350022544</v>
      </c>
      <c r="AM5" s="74">
        <f ca="1"/>
        <v>7.6115943529353274</v>
      </c>
      <c r="AN5" s="74">
        <f ca="1"/>
        <v>7.7357690708684004</v>
      </c>
    </row>
    <row r="6" spans="1:41" ht="14.4">
      <c r="E6" s="53" t="s">
        <v>108</v>
      </c>
      <c r="F6" s="53">
        <v>36586</v>
      </c>
      <c r="G6" s="96">
        <f ca="1">OFFSET('IEPR Gas Prices Nominal'!$U5,0,G$2)</f>
        <v>3.3017281885642205</v>
      </c>
      <c r="H6" s="96">
        <f ca="1">OFFSET('IEPR Gas Prices Nominal'!$U5,0,H$2)</f>
        <v>3.5694452001111556</v>
      </c>
      <c r="I6" s="96">
        <f ca="1">OFFSET('IEPR Gas Prices Nominal'!$U5,0,I$2)</f>
        <v>3.6450114914334435</v>
      </c>
      <c r="J6" s="96">
        <f ca="1">OFFSET('IEPR Gas Prices Nominal'!$U5,0,J$2)</f>
        <v>3.7125476857007147</v>
      </c>
      <c r="K6" s="96">
        <f ca="1">OFFSET('IEPR Gas Prices Nominal'!$U5,0,K$2)</f>
        <v>3.8160369739957107</v>
      </c>
      <c r="L6" s="96">
        <f ca="1">OFFSET('IEPR Gas Prices Nominal'!$U5,0,L$2)</f>
        <v>3.8945939073838787</v>
      </c>
      <c r="M6" s="96">
        <f ca="1">OFFSET('IEPR Gas Prices Nominal'!$U5,0,M$2)</f>
        <v>3.9680185248789379</v>
      </c>
      <c r="N6" s="96">
        <f ca="1">OFFSET('IEPR Gas Prices Nominal'!$U5,0,N$2)</f>
        <v>4.0631447593852856</v>
      </c>
      <c r="O6" s="96">
        <f ca="1">OFFSET('IEPR Gas Prices Nominal'!$U5,0,O$2)</f>
        <v>4.1619153003828542</v>
      </c>
      <c r="P6" s="96">
        <f ca="1">OFFSET('IEPR Gas Prices Nominal'!$U5,0,P$2)</f>
        <v>4.267777908458811</v>
      </c>
      <c r="Q6" s="96">
        <f ca="1">OFFSET('IEPR Gas Prices Nominal'!$U5,0,Q$2)</f>
        <v>4.3843018072362305</v>
      </c>
      <c r="R6" s="96">
        <f ca="1">OFFSET('IEPR Gas Prices Nominal'!$U5,0,R$2)</f>
        <v>4.5049286049738031</v>
      </c>
      <c r="S6" s="96">
        <f ca="1">OFFSET('IEPR Gas Prices Nominal'!$U5,0,S$2)</f>
        <v>4.597650110356688</v>
      </c>
      <c r="T6" s="96">
        <f ca="1">OFFSET('IEPR Gas Prices Nominal'!$U5,0,T$2)</f>
        <v>4.698143243712626</v>
      </c>
      <c r="U6" s="96">
        <f ca="1">OFFSET('IEPR Gas Prices Nominal'!$U5,0,U$2)</f>
        <v>4.8026428061788362</v>
      </c>
      <c r="V6" s="96">
        <f ca="1">OFFSET('IEPR Gas Prices Nominal'!$U5,0,V$2)</f>
        <v>4.9120388170518119</v>
      </c>
      <c r="W6" s="96">
        <f ca="1">OFFSET('IEPR Gas Prices Nominal'!$U5,0,W$2)</f>
        <v>5.0247529789451617</v>
      </c>
      <c r="X6" s="74" cm="1">
        <f t="array" aca="1" ref="X6:AN6" ca="1">TREND(U6:W6,$U$25:$W$25,$X$25:$AN$25)</f>
        <v>5.1352550401582562</v>
      </c>
      <c r="Y6" s="74">
        <f ca="1"/>
        <v>5.2463101265414309</v>
      </c>
      <c r="Z6" s="74">
        <f ca="1"/>
        <v>5.3573652129245772</v>
      </c>
      <c r="AA6" s="74">
        <f ca="1"/>
        <v>5.468420299307752</v>
      </c>
      <c r="AB6" s="74">
        <f ca="1"/>
        <v>5.5794753856908983</v>
      </c>
      <c r="AC6" s="74">
        <f ca="1"/>
        <v>5.690530472074073</v>
      </c>
      <c r="AD6" s="74">
        <f ca="1"/>
        <v>5.8015855584572478</v>
      </c>
      <c r="AE6" s="74">
        <f ca="1"/>
        <v>5.9126406448403941</v>
      </c>
      <c r="AF6" s="74">
        <f ca="1"/>
        <v>6.0236957312235688</v>
      </c>
      <c r="AG6" s="74">
        <f ca="1"/>
        <v>6.1347508176067151</v>
      </c>
      <c r="AH6" s="74">
        <f ca="1"/>
        <v>6.2458059039898899</v>
      </c>
      <c r="AI6" s="74">
        <f ca="1"/>
        <v>6.3568609903730362</v>
      </c>
      <c r="AJ6" s="74">
        <f ca="1"/>
        <v>6.4679160767562109</v>
      </c>
      <c r="AK6" s="74">
        <f ca="1"/>
        <v>6.5789711631393857</v>
      </c>
      <c r="AL6" s="74">
        <f ca="1"/>
        <v>6.690026249522532</v>
      </c>
      <c r="AM6" s="74">
        <f ca="1"/>
        <v>6.8010813359057067</v>
      </c>
      <c r="AN6" s="74">
        <f ca="1"/>
        <v>6.9121364222888531</v>
      </c>
    </row>
    <row r="7" spans="1:41" ht="14.4">
      <c r="E7" s="53" t="s">
        <v>109</v>
      </c>
      <c r="F7" s="53">
        <v>36617</v>
      </c>
      <c r="G7" s="96">
        <f ca="1">OFFSET('IEPR Gas Prices Nominal'!$U6,0,G$2)</f>
        <v>3.2970216161771302</v>
      </c>
      <c r="H7" s="96">
        <f ca="1">OFFSET('IEPR Gas Prices Nominal'!$U6,0,H$2)</f>
        <v>3.5772950462638202</v>
      </c>
      <c r="I7" s="96">
        <f ca="1">OFFSET('IEPR Gas Prices Nominal'!$U6,0,I$2)</f>
        <v>3.6420593995560577</v>
      </c>
      <c r="J7" s="96">
        <f ca="1">OFFSET('IEPR Gas Prices Nominal'!$U6,0,J$2)</f>
        <v>3.7066339740362717</v>
      </c>
      <c r="K7" s="96">
        <f ca="1">OFFSET('IEPR Gas Prices Nominal'!$U6,0,K$2)</f>
        <v>3.8117880378104849</v>
      </c>
      <c r="L7" s="96">
        <f ca="1">OFFSET('IEPR Gas Prices Nominal'!$U6,0,L$2)</f>
        <v>3.8888172428719181</v>
      </c>
      <c r="M7" s="96">
        <f ca="1">OFFSET('IEPR Gas Prices Nominal'!$U6,0,M$2)</f>
        <v>3.9615066029919923</v>
      </c>
      <c r="N7" s="96">
        <f ca="1">OFFSET('IEPR Gas Prices Nominal'!$U6,0,N$2)</f>
        <v>4.0576330066428197</v>
      </c>
      <c r="O7" s="96">
        <f ca="1">OFFSET('IEPR Gas Prices Nominal'!$U6,0,O$2)</f>
        <v>4.1565075268611613</v>
      </c>
      <c r="P7" s="96">
        <f ca="1">OFFSET('IEPR Gas Prices Nominal'!$U6,0,P$2)</f>
        <v>4.2625321696256409</v>
      </c>
      <c r="Q7" s="96">
        <f ca="1">OFFSET('IEPR Gas Prices Nominal'!$U6,0,Q$2)</f>
        <v>4.3793475097783539</v>
      </c>
      <c r="R7" s="96">
        <f ca="1">OFFSET('IEPR Gas Prices Nominal'!$U6,0,R$2)</f>
        <v>4.4999769413332871</v>
      </c>
      <c r="S7" s="96">
        <f ca="1">OFFSET('IEPR Gas Prices Nominal'!$U6,0,S$2)</f>
        <v>4.5909294902334414</v>
      </c>
      <c r="T7" s="96">
        <f ca="1">OFFSET('IEPR Gas Prices Nominal'!$U6,0,T$2)</f>
        <v>4.6913968502396175</v>
      </c>
      <c r="U7" s="96">
        <f ca="1">OFFSET('IEPR Gas Prices Nominal'!$U6,0,U$2)</f>
        <v>4.7958569335572285</v>
      </c>
      <c r="V7" s="96">
        <f ca="1">OFFSET('IEPR Gas Prices Nominal'!$U6,0,V$2)</f>
        <v>4.9052953181151686</v>
      </c>
      <c r="W7" s="96">
        <f ca="1">OFFSET('IEPR Gas Prices Nominal'!$U6,0,W$2)</f>
        <v>5.0179451170085256</v>
      </c>
      <c r="X7" s="74" cm="1">
        <f t="array" aca="1" ref="X7:AN7" ca="1">TREND(U7:W7,$U$25:$W$25,$X$25:$AN$25)</f>
        <v>5.1284539730116308</v>
      </c>
      <c r="Y7" s="74">
        <f ca="1"/>
        <v>5.239498064737262</v>
      </c>
      <c r="Z7" s="74">
        <f ca="1"/>
        <v>5.3505421564629216</v>
      </c>
      <c r="AA7" s="74">
        <f ca="1"/>
        <v>5.4615862481885813</v>
      </c>
      <c r="AB7" s="74">
        <f ca="1"/>
        <v>5.5726303399142125</v>
      </c>
      <c r="AC7" s="74">
        <f ca="1"/>
        <v>5.6836744316398722</v>
      </c>
      <c r="AD7" s="74">
        <f ca="1"/>
        <v>5.7947185233655034</v>
      </c>
      <c r="AE7" s="74">
        <f ca="1"/>
        <v>5.9057626150911631</v>
      </c>
      <c r="AF7" s="74">
        <f ca="1"/>
        <v>6.0168067068168227</v>
      </c>
      <c r="AG7" s="74">
        <f ca="1"/>
        <v>6.127850798542454</v>
      </c>
      <c r="AH7" s="74">
        <f ca="1"/>
        <v>6.2388948902681136</v>
      </c>
      <c r="AI7" s="74">
        <f ca="1"/>
        <v>6.3499389819937448</v>
      </c>
      <c r="AJ7" s="74">
        <f ca="1"/>
        <v>6.4609830737194045</v>
      </c>
      <c r="AK7" s="74">
        <f ca="1"/>
        <v>6.5720271654450642</v>
      </c>
      <c r="AL7" s="74">
        <f ca="1"/>
        <v>6.6830712571706954</v>
      </c>
      <c r="AM7" s="74">
        <f ca="1"/>
        <v>6.794115348896355</v>
      </c>
      <c r="AN7" s="74">
        <f ca="1"/>
        <v>6.9051594406219863</v>
      </c>
    </row>
    <row r="8" spans="1:41" ht="14.4">
      <c r="E8" s="53" t="s">
        <v>9</v>
      </c>
      <c r="F8" s="53">
        <v>36647</v>
      </c>
      <c r="G8" s="96">
        <f ca="1">OFFSET('IEPR Gas Prices Nominal'!$U7,0,G$2)</f>
        <v>3.4685552755303131</v>
      </c>
      <c r="H8" s="96">
        <f ca="1">OFFSET('IEPR Gas Prices Nominal'!$U7,0,H$2)</f>
        <v>3.7770152881544443</v>
      </c>
      <c r="I8" s="96">
        <f ca="1">OFFSET('IEPR Gas Prices Nominal'!$U7,0,I$2)</f>
        <v>3.8339037563647071</v>
      </c>
      <c r="J8" s="96">
        <f ca="1">OFFSET('IEPR Gas Prices Nominal'!$U7,0,J$2)</f>
        <v>3.898824922628902</v>
      </c>
      <c r="K8" s="96">
        <f ca="1">OFFSET('IEPR Gas Prices Nominal'!$U7,0,K$2)</f>
        <v>4.0113555205872302</v>
      </c>
      <c r="L8" s="96">
        <f ca="1">OFFSET('IEPR Gas Prices Nominal'!$U7,0,L$2)</f>
        <v>4.0909036026197478</v>
      </c>
      <c r="M8" s="96">
        <f ca="1">OFFSET('IEPR Gas Prices Nominal'!$U7,0,M$2)</f>
        <v>4.1667116709110772</v>
      </c>
      <c r="N8" s="96">
        <f ca="1">OFFSET('IEPR Gas Prices Nominal'!$U7,0,N$2)</f>
        <v>4.2690335338100027</v>
      </c>
      <c r="O8" s="96">
        <f ca="1">OFFSET('IEPR Gas Prices Nominal'!$U7,0,O$2)</f>
        <v>4.3733095746319171</v>
      </c>
      <c r="P8" s="96">
        <f ca="1">OFFSET('IEPR Gas Prices Nominal'!$U7,0,P$2)</f>
        <v>4.4851794145438211</v>
      </c>
      <c r="Q8" s="96">
        <f ca="1">OFFSET('IEPR Gas Prices Nominal'!$U7,0,Q$2)</f>
        <v>4.6085534146093883</v>
      </c>
      <c r="R8" s="96">
        <f ca="1">OFFSET('IEPR Gas Prices Nominal'!$U7,0,R$2)</f>
        <v>4.7356423993801569</v>
      </c>
      <c r="S8" s="96">
        <f ca="1">OFFSET('IEPR Gas Prices Nominal'!$U7,0,S$2)</f>
        <v>4.8296057846410294</v>
      </c>
      <c r="T8" s="96">
        <f ca="1">OFFSET('IEPR Gas Prices Nominal'!$U7,0,T$2)</f>
        <v>4.9354236781082754</v>
      </c>
      <c r="U8" s="96">
        <f ca="1">OFFSET('IEPR Gas Prices Nominal'!$U7,0,U$2)</f>
        <v>5.0454336170075971</v>
      </c>
      <c r="V8" s="96">
        <f ca="1">OFFSET('IEPR Gas Prices Nominal'!$U7,0,V$2)</f>
        <v>5.1607742733512536</v>
      </c>
      <c r="W8" s="96">
        <f ca="1">OFFSET('IEPR Gas Prices Nominal'!$U7,0,W$2)</f>
        <v>5.2793861599586043</v>
      </c>
      <c r="X8" s="74" cm="1">
        <f t="array" aca="1" ref="X8:AN8" ca="1">TREND(U8:W8,$U$25:$W$25,$X$25:$AN$25)</f>
        <v>5.3958172263901645</v>
      </c>
      <c r="Y8" s="74">
        <f ca="1"/>
        <v>5.5127934978656583</v>
      </c>
      <c r="Z8" s="74">
        <f ca="1"/>
        <v>5.6297697693411806</v>
      </c>
      <c r="AA8" s="74">
        <f ca="1"/>
        <v>5.7467460408166744</v>
      </c>
      <c r="AB8" s="74">
        <f ca="1"/>
        <v>5.8637223122921682</v>
      </c>
      <c r="AC8" s="74">
        <f ca="1"/>
        <v>5.9806985837676905</v>
      </c>
      <c r="AD8" s="74">
        <f ca="1"/>
        <v>6.0976748552431843</v>
      </c>
      <c r="AE8" s="74">
        <f ca="1"/>
        <v>6.2146511267186781</v>
      </c>
      <c r="AF8" s="74">
        <f ca="1"/>
        <v>6.3316273981942004</v>
      </c>
      <c r="AG8" s="74">
        <f ca="1"/>
        <v>6.4486036696696942</v>
      </c>
      <c r="AH8" s="74">
        <f ca="1"/>
        <v>6.5655799411451881</v>
      </c>
      <c r="AI8" s="74">
        <f ca="1"/>
        <v>6.6825562126207103</v>
      </c>
      <c r="AJ8" s="74">
        <f ca="1"/>
        <v>6.7995324840962041</v>
      </c>
      <c r="AK8" s="74">
        <f ca="1"/>
        <v>6.916508755571698</v>
      </c>
      <c r="AL8" s="74">
        <f ca="1"/>
        <v>7.0334850270472202</v>
      </c>
      <c r="AM8" s="74">
        <f ca="1"/>
        <v>7.1504612985227141</v>
      </c>
      <c r="AN8" s="74">
        <f ca="1"/>
        <v>7.2674375699982079</v>
      </c>
    </row>
    <row r="9" spans="1:41" ht="14.4">
      <c r="E9" s="53" t="s">
        <v>110</v>
      </c>
      <c r="F9" s="53">
        <v>36678</v>
      </c>
      <c r="G9" s="96">
        <f ca="1">OFFSET('IEPR Gas Prices Nominal'!$U8,0,G$2)</f>
        <v>3.4376921946949053</v>
      </c>
      <c r="H9" s="96">
        <f ca="1">OFFSET('IEPR Gas Prices Nominal'!$U8,0,H$2)</f>
        <v>3.6048777928199969</v>
      </c>
      <c r="I9" s="96">
        <f ca="1">OFFSET('IEPR Gas Prices Nominal'!$U8,0,I$2)</f>
        <v>3.6968871159464194</v>
      </c>
      <c r="J9" s="96">
        <f ca="1">OFFSET('IEPR Gas Prices Nominal'!$U8,0,J$2)</f>
        <v>3.7854534153047426</v>
      </c>
      <c r="K9" s="96">
        <f ca="1">OFFSET('IEPR Gas Prices Nominal'!$U8,0,K$2)</f>
        <v>3.8764962100530673</v>
      </c>
      <c r="L9" s="96">
        <f ca="1">OFFSET('IEPR Gas Prices Nominal'!$U8,0,L$2)</f>
        <v>3.9568634233818165</v>
      </c>
      <c r="M9" s="96">
        <f ca="1">OFFSET('IEPR Gas Prices Nominal'!$U8,0,M$2)</f>
        <v>4.0404404553191275</v>
      </c>
      <c r="N9" s="96">
        <f ca="1">OFFSET('IEPR Gas Prices Nominal'!$U8,0,N$2)</f>
        <v>4.1352273736953551</v>
      </c>
      <c r="O9" s="96">
        <f ca="1">OFFSET('IEPR Gas Prices Nominal'!$U8,0,O$2)</f>
        <v>4.2368636872077365</v>
      </c>
      <c r="P9" s="96">
        <f ca="1">OFFSET('IEPR Gas Prices Nominal'!$U8,0,P$2)</f>
        <v>4.3463937398831334</v>
      </c>
      <c r="Q9" s="96">
        <f ca="1">OFFSET('IEPR Gas Prices Nominal'!$U8,0,Q$2)</f>
        <v>4.464588214513836</v>
      </c>
      <c r="R9" s="96">
        <f ca="1">OFFSET('IEPR Gas Prices Nominal'!$U8,0,R$2)</f>
        <v>4.5767096800748375</v>
      </c>
      <c r="S9" s="96">
        <f ca="1">OFFSET('IEPR Gas Prices Nominal'!$U8,0,S$2)</f>
        <v>4.6767471870336133</v>
      </c>
      <c r="T9" s="96">
        <f ca="1">OFFSET('IEPR Gas Prices Nominal'!$U8,0,T$2)</f>
        <v>4.7792771784764803</v>
      </c>
      <c r="U9" s="96">
        <f ca="1">OFFSET('IEPR Gas Prices Nominal'!$U8,0,U$2)</f>
        <v>4.886450546830492</v>
      </c>
      <c r="V9" s="96">
        <f ca="1">OFFSET('IEPR Gas Prices Nominal'!$U8,0,V$2)</f>
        <v>4.9977075421612058</v>
      </c>
      <c r="W9" s="96">
        <f ca="1">OFFSET('IEPR Gas Prices Nominal'!$U8,0,W$2)</f>
        <v>5.1133412147356898</v>
      </c>
      <c r="X9" s="74" cm="1">
        <f t="array" aca="1" ref="X9:AN9" ca="1">TREND(U9:W9,$U$25:$W$25,$X$25:$AN$25)</f>
        <v>5.2260571024809792</v>
      </c>
      <c r="Y9" s="74">
        <f ca="1"/>
        <v>5.3395024364335768</v>
      </c>
      <c r="Z9" s="74">
        <f ca="1"/>
        <v>5.4529477703862028</v>
      </c>
      <c r="AA9" s="74">
        <f ca="1"/>
        <v>5.5663931043388004</v>
      </c>
      <c r="AB9" s="74">
        <f ca="1"/>
        <v>5.679838438291398</v>
      </c>
      <c r="AC9" s="74">
        <f ca="1"/>
        <v>5.7932837722439956</v>
      </c>
      <c r="AD9" s="74">
        <f ca="1"/>
        <v>5.9067291061965932</v>
      </c>
      <c r="AE9" s="74">
        <f ca="1"/>
        <v>6.0201744401491908</v>
      </c>
      <c r="AF9" s="74">
        <f ca="1"/>
        <v>6.1336197741017884</v>
      </c>
      <c r="AG9" s="74">
        <f ca="1"/>
        <v>6.247065108054386</v>
      </c>
      <c r="AH9" s="74">
        <f ca="1"/>
        <v>6.3605104420069836</v>
      </c>
      <c r="AI9" s="74">
        <f ca="1"/>
        <v>6.4739557759595812</v>
      </c>
      <c r="AJ9" s="74">
        <f ca="1"/>
        <v>6.5874011099121788</v>
      </c>
      <c r="AK9" s="74">
        <f ca="1"/>
        <v>6.7008464438647763</v>
      </c>
      <c r="AL9" s="74">
        <f ca="1"/>
        <v>6.8142917778173739</v>
      </c>
      <c r="AM9" s="74">
        <f ca="1"/>
        <v>6.9277371117699715</v>
      </c>
      <c r="AN9" s="74">
        <f ca="1"/>
        <v>7.0411824457225691</v>
      </c>
    </row>
    <row r="10" spans="1:41" ht="14.4">
      <c r="A10" s="81" t="s">
        <v>372</v>
      </c>
      <c r="B10" s="81"/>
      <c r="E10" s="53" t="s">
        <v>111</v>
      </c>
      <c r="F10" s="53">
        <v>36708</v>
      </c>
      <c r="G10" s="96">
        <f ca="1">OFFSET('IEPR Gas Prices Nominal'!$U9,0,G$2)</f>
        <v>3.485313922461124</v>
      </c>
      <c r="H10" s="96">
        <f ca="1">OFFSET('IEPR Gas Prices Nominal'!$U9,0,H$2)</f>
        <v>3.6431514025716853</v>
      </c>
      <c r="I10" s="96">
        <f ca="1">OFFSET('IEPR Gas Prices Nominal'!$U9,0,I$2)</f>
        <v>3.7331270104074572</v>
      </c>
      <c r="J10" s="96">
        <f ca="1">OFFSET('IEPR Gas Prices Nominal'!$U9,0,J$2)</f>
        <v>3.8244433654071659</v>
      </c>
      <c r="K10" s="96">
        <f ca="1">OFFSET('IEPR Gas Prices Nominal'!$U9,0,K$2)</f>
        <v>3.9149358835127366</v>
      </c>
      <c r="L10" s="96">
        <f ca="1">OFFSET('IEPR Gas Prices Nominal'!$U9,0,L$2)</f>
        <v>3.9954548125031337</v>
      </c>
      <c r="M10" s="96">
        <f ca="1">OFFSET('IEPR Gas Prices Nominal'!$U9,0,M$2)</f>
        <v>4.081035845563509</v>
      </c>
      <c r="N10" s="96">
        <f ca="1">OFFSET('IEPR Gas Prices Nominal'!$U9,0,N$2)</f>
        <v>4.1770208136360445</v>
      </c>
      <c r="O10" s="96">
        <f ca="1">OFFSET('IEPR Gas Prices Nominal'!$U9,0,O$2)</f>
        <v>4.279993629954876</v>
      </c>
      <c r="P10" s="96">
        <f ca="1">OFFSET('IEPR Gas Prices Nominal'!$U9,0,P$2)</f>
        <v>4.3910882394209594</v>
      </c>
      <c r="Q10" s="96">
        <f ca="1">OFFSET('IEPR Gas Prices Nominal'!$U9,0,Q$2)</f>
        <v>4.5106417187796843</v>
      </c>
      <c r="R10" s="96">
        <f ca="1">OFFSET('IEPR Gas Prices Nominal'!$U9,0,R$2)</f>
        <v>4.6221942782739989</v>
      </c>
      <c r="S10" s="96">
        <f ca="1">OFFSET('IEPR Gas Prices Nominal'!$U9,0,S$2)</f>
        <v>4.7233505011992065</v>
      </c>
      <c r="T10" s="96">
        <f ca="1">OFFSET('IEPR Gas Prices Nominal'!$U9,0,T$2)</f>
        <v>4.8270162132249759</v>
      </c>
      <c r="U10" s="96">
        <f ca="1">OFFSET('IEPR Gas Prices Nominal'!$U9,0,U$2)</f>
        <v>4.9354630001297251</v>
      </c>
      <c r="V10" s="96">
        <f ca="1">OFFSET('IEPR Gas Prices Nominal'!$U9,0,V$2)</f>
        <v>5.0479290991352928</v>
      </c>
      <c r="W10" s="96">
        <f ca="1">OFFSET('IEPR Gas Prices Nominal'!$U9,0,W$2)</f>
        <v>5.1649314204074193</v>
      </c>
      <c r="X10" s="74" cm="1">
        <f t="array" aca="1" ref="X10:AN10" ca="1">TREND(U10:W10,$U$25:$W$25,$X$25:$AN$25)</f>
        <v>5.2789095935018508</v>
      </c>
      <c r="Y10" s="74">
        <f ca="1"/>
        <v>5.3936438036406855</v>
      </c>
      <c r="Z10" s="74">
        <f ca="1"/>
        <v>5.5083780137795486</v>
      </c>
      <c r="AA10" s="74">
        <f ca="1"/>
        <v>5.6231122239183833</v>
      </c>
      <c r="AB10" s="74">
        <f ca="1"/>
        <v>5.7378464340572464</v>
      </c>
      <c r="AC10" s="74">
        <f ca="1"/>
        <v>5.852580644196081</v>
      </c>
      <c r="AD10" s="74">
        <f ca="1"/>
        <v>5.9673148543349157</v>
      </c>
      <c r="AE10" s="74">
        <f ca="1"/>
        <v>6.0820490644737788</v>
      </c>
      <c r="AF10" s="74">
        <f ca="1"/>
        <v>6.1967832746126135</v>
      </c>
      <c r="AG10" s="74">
        <f ca="1"/>
        <v>6.3115174847514766</v>
      </c>
      <c r="AH10" s="74">
        <f ca="1"/>
        <v>6.4262516948903112</v>
      </c>
      <c r="AI10" s="74">
        <f ca="1"/>
        <v>6.5409859050291743</v>
      </c>
      <c r="AJ10" s="74">
        <f ca="1"/>
        <v>6.655720115168009</v>
      </c>
      <c r="AK10" s="74">
        <f ca="1"/>
        <v>6.7704543253068437</v>
      </c>
      <c r="AL10" s="74">
        <f ca="1"/>
        <v>6.8851885354457067</v>
      </c>
      <c r="AM10" s="74">
        <f ca="1"/>
        <v>6.9999227455845414</v>
      </c>
      <c r="AN10" s="74">
        <f ca="1"/>
        <v>7.1146569557234045</v>
      </c>
    </row>
    <row r="11" spans="1:41" ht="14.4">
      <c r="A11" s="82" t="s">
        <v>373</v>
      </c>
      <c r="B11" s="83"/>
      <c r="E11" s="53" t="s">
        <v>112</v>
      </c>
      <c r="F11" s="53">
        <v>36739</v>
      </c>
      <c r="G11" s="96">
        <f ca="1">OFFSET('IEPR Gas Prices Nominal'!$U10,0,G$2)</f>
        <v>3.5254310341467963</v>
      </c>
      <c r="H11" s="96">
        <f ca="1">OFFSET('IEPR Gas Prices Nominal'!$U10,0,H$2)</f>
        <v>3.6733823428631003</v>
      </c>
      <c r="I11" s="96">
        <f ca="1">OFFSET('IEPR Gas Prices Nominal'!$U10,0,I$2)</f>
        <v>3.761074284406789</v>
      </c>
      <c r="J11" s="96">
        <f ca="1">OFFSET('IEPR Gas Prices Nominal'!$U10,0,J$2)</f>
        <v>3.8549699531803072</v>
      </c>
      <c r="K11" s="96">
        <f ca="1">OFFSET('IEPR Gas Prices Nominal'!$U10,0,K$2)</f>
        <v>3.9446865646502474</v>
      </c>
      <c r="L11" s="96">
        <f ca="1">OFFSET('IEPR Gas Prices Nominal'!$U10,0,L$2)</f>
        <v>4.0251674956569241</v>
      </c>
      <c r="M11" s="96">
        <f ca="1">OFFSET('IEPR Gas Prices Nominal'!$U10,0,M$2)</f>
        <v>4.1125826348143208</v>
      </c>
      <c r="N11" s="96">
        <f ca="1">OFFSET('IEPR Gas Prices Nominal'!$U10,0,N$2)</f>
        <v>4.2095570223475853</v>
      </c>
      <c r="O11" s="96">
        <f ca="1">OFFSET('IEPR Gas Prices Nominal'!$U10,0,O$2)</f>
        <v>4.3136434052598522</v>
      </c>
      <c r="P11" s="96">
        <f ca="1">OFFSET('IEPR Gas Prices Nominal'!$U10,0,P$2)</f>
        <v>4.4260641643728968</v>
      </c>
      <c r="Q11" s="96">
        <f ca="1">OFFSET('IEPR Gas Prices Nominal'!$U10,0,Q$2)</f>
        <v>4.5467144953666399</v>
      </c>
      <c r="R11" s="96">
        <f ca="1">OFFSET('IEPR Gas Prices Nominal'!$U10,0,R$2)</f>
        <v>4.6574218939064442</v>
      </c>
      <c r="S11" s="96">
        <f ca="1">OFFSET('IEPR Gas Prices Nominal'!$U10,0,S$2)</f>
        <v>4.7594744838077601</v>
      </c>
      <c r="T11" s="96">
        <f ca="1">OFFSET('IEPR Gas Prices Nominal'!$U10,0,T$2)</f>
        <v>4.8640478662113082</v>
      </c>
      <c r="U11" s="96">
        <f ca="1">OFFSET('IEPR Gas Prices Nominal'!$U10,0,U$2)</f>
        <v>4.9735309735682103</v>
      </c>
      <c r="V11" s="96">
        <f ca="1">OFFSET('IEPR Gas Prices Nominal'!$U10,0,V$2)</f>
        <v>5.0869583696576104</v>
      </c>
      <c r="W11" s="96">
        <f ca="1">OFFSET('IEPR Gas Prices Nominal'!$U10,0,W$2)</f>
        <v>5.2050734463638024</v>
      </c>
      <c r="X11" s="74" cm="1">
        <f t="array" aca="1" ref="X11:AN11" ca="1">TREND(U11:W11,$U$25:$W$25,$X$25:$AN$25)</f>
        <v>5.3200634026588318</v>
      </c>
      <c r="Y11" s="74">
        <f ca="1"/>
        <v>5.4358346390566226</v>
      </c>
      <c r="Z11" s="74">
        <f ca="1"/>
        <v>5.5516058754544133</v>
      </c>
      <c r="AA11" s="74">
        <f ca="1"/>
        <v>5.6673771118522041</v>
      </c>
      <c r="AB11" s="74">
        <f ca="1"/>
        <v>5.7831483482499948</v>
      </c>
      <c r="AC11" s="74">
        <f ca="1"/>
        <v>5.898919584647814</v>
      </c>
      <c r="AD11" s="74">
        <f ca="1"/>
        <v>6.0146908210456047</v>
      </c>
      <c r="AE11" s="74">
        <f ca="1"/>
        <v>6.1304620574433955</v>
      </c>
      <c r="AF11" s="74">
        <f ca="1"/>
        <v>6.2462332938411862</v>
      </c>
      <c r="AG11" s="74">
        <f ca="1"/>
        <v>6.3620045302389769</v>
      </c>
      <c r="AH11" s="74">
        <f ca="1"/>
        <v>6.4777757666367961</v>
      </c>
      <c r="AI11" s="74">
        <f ca="1"/>
        <v>6.5935470030345869</v>
      </c>
      <c r="AJ11" s="74">
        <f ca="1"/>
        <v>6.7093182394323776</v>
      </c>
      <c r="AK11" s="74">
        <f ca="1"/>
        <v>6.8250894758301683</v>
      </c>
      <c r="AL11" s="74">
        <f ca="1"/>
        <v>6.9408607122279591</v>
      </c>
      <c r="AM11" s="74">
        <f ca="1"/>
        <v>7.0566319486257783</v>
      </c>
      <c r="AN11" s="74">
        <f ca="1"/>
        <v>7.172403185023569</v>
      </c>
    </row>
    <row r="12" spans="1:41" ht="14.4">
      <c r="A12" s="84" t="s">
        <v>374</v>
      </c>
      <c r="B12" s="97"/>
      <c r="E12" s="53" t="s">
        <v>113</v>
      </c>
      <c r="F12" s="53">
        <v>36770</v>
      </c>
      <c r="G12" s="96">
        <f ca="1">OFFSET('IEPR Gas Prices Nominal'!$U11,0,G$2)</f>
        <v>3.2243685987521942</v>
      </c>
      <c r="H12" s="96">
        <f ca="1">OFFSET('IEPR Gas Prices Nominal'!$U11,0,H$2)</f>
        <v>3.3490679558169631</v>
      </c>
      <c r="I12" s="96">
        <f ca="1">OFFSET('IEPR Gas Prices Nominal'!$U11,0,I$2)</f>
        <v>3.4262598417940922</v>
      </c>
      <c r="J12" s="96">
        <f ca="1">OFFSET('IEPR Gas Prices Nominal'!$U11,0,J$2)</f>
        <v>3.513523535197475</v>
      </c>
      <c r="K12" s="96">
        <f ca="1">OFFSET('IEPR Gas Prices Nominal'!$U11,0,K$2)</f>
        <v>3.5939296832441587</v>
      </c>
      <c r="L12" s="96">
        <f ca="1">OFFSET('IEPR Gas Prices Nominal'!$U11,0,L$2)</f>
        <v>3.666662459371663</v>
      </c>
      <c r="M12" s="96">
        <f ca="1">OFFSET('IEPR Gas Prices Nominal'!$U11,0,M$2)</f>
        <v>3.747382856592155</v>
      </c>
      <c r="N12" s="96">
        <f ca="1">OFFSET('IEPR Gas Prices Nominal'!$U11,0,N$2)</f>
        <v>3.8359711952277045</v>
      </c>
      <c r="O12" s="96">
        <f ca="1">OFFSET('IEPR Gas Prices Nominal'!$U11,0,O$2)</f>
        <v>3.9311038432264573</v>
      </c>
      <c r="P12" s="96">
        <f ca="1">OFFSET('IEPR Gas Prices Nominal'!$U11,0,P$2)</f>
        <v>4.0339671841533864</v>
      </c>
      <c r="Q12" s="96">
        <f ca="1">OFFSET('IEPR Gas Prices Nominal'!$U11,0,Q$2)</f>
        <v>4.1440609540447975</v>
      </c>
      <c r="R12" s="96">
        <f ca="1">OFFSET('IEPR Gas Prices Nominal'!$U11,0,R$2)</f>
        <v>4.2433825809707582</v>
      </c>
      <c r="S12" s="96">
        <f ca="1">OFFSET('IEPR Gas Prices Nominal'!$U11,0,S$2)</f>
        <v>4.3364770354050926</v>
      </c>
      <c r="T12" s="96">
        <f ca="1">OFFSET('IEPR Gas Prices Nominal'!$U11,0,T$2)</f>
        <v>4.4318610626922199</v>
      </c>
      <c r="U12" s="96">
        <f ca="1">OFFSET('IEPR Gas Prices Nominal'!$U11,0,U$2)</f>
        <v>4.5318023265572629</v>
      </c>
      <c r="V12" s="96">
        <f ca="1">OFFSET('IEPR Gas Prices Nominal'!$U11,0,V$2)</f>
        <v>4.6352410116687084</v>
      </c>
      <c r="W12" s="96">
        <f ca="1">OFFSET('IEPR Gas Prices Nominal'!$U11,0,W$2)</f>
        <v>4.7430571003598665</v>
      </c>
      <c r="X12" s="74" cm="1">
        <f t="array" aca="1" ref="X12:AN12" ca="1">TREND(U12:W12,$U$25:$W$25,$X$25:$AN$25)</f>
        <v>4.8479549199978749</v>
      </c>
      <c r="Y12" s="74">
        <f ca="1"/>
        <v>4.9535823068991647</v>
      </c>
      <c r="Z12" s="74">
        <f ca="1"/>
        <v>5.0592096938004829</v>
      </c>
      <c r="AA12" s="74">
        <f ca="1"/>
        <v>5.1648370807017727</v>
      </c>
      <c r="AB12" s="74">
        <f ca="1"/>
        <v>5.270464467603091</v>
      </c>
      <c r="AC12" s="74">
        <f ca="1"/>
        <v>5.3760918545043808</v>
      </c>
      <c r="AD12" s="74">
        <f ca="1"/>
        <v>5.4817192414056706</v>
      </c>
      <c r="AE12" s="74">
        <f ca="1"/>
        <v>5.5873466283069888</v>
      </c>
      <c r="AF12" s="74">
        <f ca="1"/>
        <v>5.6929740152082786</v>
      </c>
      <c r="AG12" s="74">
        <f ca="1"/>
        <v>5.7986014021095968</v>
      </c>
      <c r="AH12" s="74">
        <f ca="1"/>
        <v>5.9042287890108867</v>
      </c>
      <c r="AI12" s="74">
        <f ca="1"/>
        <v>6.0098561759122049</v>
      </c>
      <c r="AJ12" s="74">
        <f ca="1"/>
        <v>6.1154835628134947</v>
      </c>
      <c r="AK12" s="74">
        <f ca="1"/>
        <v>6.2211109497147845</v>
      </c>
      <c r="AL12" s="74">
        <f ca="1"/>
        <v>6.3267383366161027</v>
      </c>
      <c r="AM12" s="74">
        <f ca="1"/>
        <v>6.4323657235173926</v>
      </c>
      <c r="AN12" s="74">
        <f ca="1"/>
        <v>6.5379931104187108</v>
      </c>
    </row>
    <row r="13" spans="1:41" ht="14.4">
      <c r="A13" s="86" t="s">
        <v>375</v>
      </c>
      <c r="B13" s="87"/>
      <c r="E13" s="53" t="s">
        <v>114</v>
      </c>
      <c r="F13" s="53">
        <v>36800</v>
      </c>
      <c r="G13" s="96">
        <f ca="1">OFFSET('IEPR Gas Prices Nominal'!$U12,0,G$2)</f>
        <v>3.2678087790782455</v>
      </c>
      <c r="H13" s="96">
        <f ca="1">OFFSET('IEPR Gas Prices Nominal'!$U12,0,H$2)</f>
        <v>3.3835141388750842</v>
      </c>
      <c r="I13" s="96">
        <f ca="1">OFFSET('IEPR Gas Prices Nominal'!$U12,0,I$2)</f>
        <v>3.4587185103631781</v>
      </c>
      <c r="J13" s="96">
        <f ca="1">OFFSET('IEPR Gas Prices Nominal'!$U12,0,J$2)</f>
        <v>3.548551729876277</v>
      </c>
      <c r="K13" s="96">
        <f ca="1">OFFSET('IEPR Gas Prices Nominal'!$U12,0,K$2)</f>
        <v>3.6283834373537722</v>
      </c>
      <c r="L13" s="96">
        <f ca="1">OFFSET('IEPR Gas Prices Nominal'!$U12,0,L$2)</f>
        <v>3.7012161311040508</v>
      </c>
      <c r="M13" s="96">
        <f ca="1">OFFSET('IEPR Gas Prices Nominal'!$U12,0,M$2)</f>
        <v>3.7837984228552219</v>
      </c>
      <c r="N13" s="96">
        <f ca="1">OFFSET('IEPR Gas Prices Nominal'!$U12,0,N$2)</f>
        <v>3.8734750112389058</v>
      </c>
      <c r="O13" s="96">
        <f ca="1">OFFSET('IEPR Gas Prices Nominal'!$U12,0,O$2)</f>
        <v>3.9698239482153248</v>
      </c>
      <c r="P13" s="96">
        <f ca="1">OFFSET('IEPR Gas Prices Nominal'!$U12,0,P$2)</f>
        <v>4.074116356908303</v>
      </c>
      <c r="Q13" s="96">
        <f ca="1">OFFSET('IEPR Gas Prices Nominal'!$U12,0,Q$2)</f>
        <v>4.1854386641841206</v>
      </c>
      <c r="R13" s="96">
        <f ca="1">OFFSET('IEPR Gas Prices Nominal'!$U12,0,R$2)</f>
        <v>4.2841564277826683</v>
      </c>
      <c r="S13" s="96">
        <f ca="1">OFFSET('IEPR Gas Prices Nominal'!$U12,0,S$2)</f>
        <v>4.3782606796100048</v>
      </c>
      <c r="T13" s="96">
        <f ca="1">OFFSET('IEPR Gas Prices Nominal'!$U12,0,T$2)</f>
        <v>4.4746693146143155</v>
      </c>
      <c r="U13" s="96">
        <f ca="1">OFFSET('IEPR Gas Prices Nominal'!$U12,0,U$2)</f>
        <v>4.5757637291520146</v>
      </c>
      <c r="V13" s="96">
        <f ca="1">OFFSET('IEPR Gas Prices Nominal'!$U12,0,V$2)</f>
        <v>4.6802920604502871</v>
      </c>
      <c r="W13" s="96">
        <f ca="1">OFFSET('IEPR Gas Prices Nominal'!$U12,0,W$2)</f>
        <v>4.7893472889951072</v>
      </c>
      <c r="X13" s="74" cm="1">
        <f t="array" aca="1" ref="X13:AN13" ca="1">TREND(U13:W13,$U$25:$W$25,$X$25:$AN$25)</f>
        <v>4.8953845860422405</v>
      </c>
      <c r="Y13" s="74">
        <f ca="1"/>
        <v>5.002176365963777</v>
      </c>
      <c r="Z13" s="74">
        <f ca="1"/>
        <v>5.108968145885342</v>
      </c>
      <c r="AA13" s="74">
        <f ca="1"/>
        <v>5.2157599258068785</v>
      </c>
      <c r="AB13" s="74">
        <f ca="1"/>
        <v>5.3225517057284151</v>
      </c>
      <c r="AC13" s="74">
        <f ca="1"/>
        <v>5.42934348564998</v>
      </c>
      <c r="AD13" s="74">
        <f ca="1"/>
        <v>5.5361352655715166</v>
      </c>
      <c r="AE13" s="74">
        <f ca="1"/>
        <v>5.6429270454930531</v>
      </c>
      <c r="AF13" s="74">
        <f ca="1"/>
        <v>5.7497188254146181</v>
      </c>
      <c r="AG13" s="74">
        <f ca="1"/>
        <v>5.8565106053361546</v>
      </c>
      <c r="AH13" s="74">
        <f ca="1"/>
        <v>5.9633023852576912</v>
      </c>
      <c r="AI13" s="74">
        <f ca="1"/>
        <v>6.0700941651792562</v>
      </c>
      <c r="AJ13" s="74">
        <f ca="1"/>
        <v>6.1768859451007927</v>
      </c>
      <c r="AK13" s="74">
        <f ca="1"/>
        <v>6.2836777250223292</v>
      </c>
      <c r="AL13" s="74">
        <f ca="1"/>
        <v>6.3904695049438942</v>
      </c>
      <c r="AM13" s="74">
        <f ca="1"/>
        <v>6.4972612848654308</v>
      </c>
      <c r="AN13" s="74">
        <f ca="1"/>
        <v>6.6040530647869673</v>
      </c>
    </row>
    <row r="14" spans="1:41" ht="14.4">
      <c r="A14" s="88" t="s">
        <v>376</v>
      </c>
      <c r="B14" s="89"/>
      <c r="E14" s="53" t="s">
        <v>115</v>
      </c>
      <c r="F14" s="53">
        <v>36831</v>
      </c>
      <c r="G14" s="96">
        <f ca="1">OFFSET('IEPR Gas Prices Nominal'!$U13,0,G$2)</f>
        <v>3.21914978993764</v>
      </c>
      <c r="H14" s="96">
        <f ca="1">OFFSET('IEPR Gas Prices Nominal'!$U13,0,H$2)</f>
        <v>3.3227012208255964</v>
      </c>
      <c r="I14" s="96">
        <f ca="1">OFFSET('IEPR Gas Prices Nominal'!$U13,0,I$2)</f>
        <v>3.3938272050189742</v>
      </c>
      <c r="J14" s="96">
        <f ca="1">OFFSET('IEPR Gas Prices Nominal'!$U13,0,J$2)</f>
        <v>3.4836849121104678</v>
      </c>
      <c r="K14" s="96">
        <f ca="1">OFFSET('IEPR Gas Prices Nominal'!$U13,0,K$2)</f>
        <v>3.5607079188841997</v>
      </c>
      <c r="L14" s="96">
        <f ca="1">OFFSET('IEPR Gas Prices Nominal'!$U13,0,L$2)</f>
        <v>3.6315961636318832</v>
      </c>
      <c r="M14" s="96">
        <f ca="1">OFFSET('IEPR Gas Prices Nominal'!$U13,0,M$2)</f>
        <v>3.7137055362353215</v>
      </c>
      <c r="N14" s="96">
        <f ca="1">OFFSET('IEPR Gas Prices Nominal'!$U13,0,N$2)</f>
        <v>3.8019439468039522</v>
      </c>
      <c r="O14" s="96">
        <f ca="1">OFFSET('IEPR Gas Prices Nominal'!$U13,0,O$2)</f>
        <v>3.8967943156837097</v>
      </c>
      <c r="P14" s="96">
        <f ca="1">OFFSET('IEPR Gas Prices Nominal'!$U13,0,P$2)</f>
        <v>3.999576029404484</v>
      </c>
      <c r="Q14" s="96">
        <f ca="1">OFFSET('IEPR Gas Prices Nominal'!$U13,0,Q$2)</f>
        <v>4.1089918037608237</v>
      </c>
      <c r="R14" s="96">
        <f ca="1">OFFSET('IEPR Gas Prices Nominal'!$U13,0,R$2)</f>
        <v>4.204341855560549</v>
      </c>
      <c r="S14" s="96">
        <f ca="1">OFFSET('IEPR Gas Prices Nominal'!$U13,0,S$2)</f>
        <v>4.2968060068081328</v>
      </c>
      <c r="T14" s="96">
        <f ca="1">OFFSET('IEPR Gas Prices Nominal'!$U13,0,T$2)</f>
        <v>4.3915245572101815</v>
      </c>
      <c r="U14" s="96">
        <f ca="1">OFFSET('IEPR Gas Prices Nominal'!$U13,0,U$2)</f>
        <v>4.490924731308314</v>
      </c>
      <c r="V14" s="96">
        <f ca="1">OFFSET('IEPR Gas Prices Nominal'!$U13,0,V$2)</f>
        <v>4.5935995845526811</v>
      </c>
      <c r="W14" s="96">
        <f ca="1">OFFSET('IEPR Gas Prices Nominal'!$U13,0,W$2)</f>
        <v>4.700822386475104</v>
      </c>
      <c r="X14" s="74" cm="1">
        <f t="array" aca="1" ref="X14:AN14" ca="1">TREND(U14:W14,$U$25:$W$25,$X$25:$AN$25)</f>
        <v>4.8050132226121605</v>
      </c>
      <c r="Y14" s="74">
        <f ca="1"/>
        <v>4.9099620501955599</v>
      </c>
      <c r="Z14" s="74">
        <f ca="1"/>
        <v>5.0149108777789593</v>
      </c>
      <c r="AA14" s="74">
        <f ca="1"/>
        <v>5.1198597053623303</v>
      </c>
      <c r="AB14" s="74">
        <f ca="1"/>
        <v>5.2248085329457297</v>
      </c>
      <c r="AC14" s="74">
        <f ca="1"/>
        <v>5.3297573605291291</v>
      </c>
      <c r="AD14" s="74">
        <f ca="1"/>
        <v>5.4347061881125285</v>
      </c>
      <c r="AE14" s="74">
        <f ca="1"/>
        <v>5.5396550156959279</v>
      </c>
      <c r="AF14" s="74">
        <f ca="1"/>
        <v>5.6446038432793273</v>
      </c>
      <c r="AG14" s="74">
        <f ca="1"/>
        <v>5.7495526708626983</v>
      </c>
      <c r="AH14" s="74">
        <f ca="1"/>
        <v>5.8545014984460977</v>
      </c>
      <c r="AI14" s="74">
        <f ca="1"/>
        <v>5.9594503260294971</v>
      </c>
      <c r="AJ14" s="74">
        <f ca="1"/>
        <v>6.0643991536128965</v>
      </c>
      <c r="AK14" s="74">
        <f ca="1"/>
        <v>6.1693479811962959</v>
      </c>
      <c r="AL14" s="74">
        <f ca="1"/>
        <v>6.2742968087796953</v>
      </c>
      <c r="AM14" s="74">
        <f ca="1"/>
        <v>6.3792456363630947</v>
      </c>
      <c r="AN14" s="74">
        <f ca="1"/>
        <v>6.4841944639464657</v>
      </c>
    </row>
    <row r="15" spans="1:41" ht="14.4">
      <c r="A15" s="90" t="s">
        <v>377</v>
      </c>
      <c r="B15" s="91"/>
      <c r="E15" s="53" t="s">
        <v>116</v>
      </c>
      <c r="F15" s="53">
        <v>36861</v>
      </c>
      <c r="G15" s="96">
        <f ca="1">OFFSET('IEPR Gas Prices Nominal'!$U14,0,G$2)</f>
        <v>3.5716504421973769</v>
      </c>
      <c r="H15" s="96">
        <f ca="1">OFFSET('IEPR Gas Prices Nominal'!$U14,0,H$2)</f>
        <v>3.6750597594675654</v>
      </c>
      <c r="I15" s="96">
        <f ca="1">OFFSET('IEPR Gas Prices Nominal'!$U14,0,I$2)</f>
        <v>3.7507177207559823</v>
      </c>
      <c r="J15" s="96">
        <f ca="1">OFFSET('IEPR Gas Prices Nominal'!$U14,0,J$2)</f>
        <v>3.8519142178461352</v>
      </c>
      <c r="K15" s="96">
        <f ca="1">OFFSET('IEPR Gas Prices Nominal'!$U14,0,K$2)</f>
        <v>3.9355882771698325</v>
      </c>
      <c r="L15" s="96">
        <f ca="1">OFFSET('IEPR Gas Prices Nominal'!$U14,0,L$2)</f>
        <v>4.0132923566395213</v>
      </c>
      <c r="M15" s="96">
        <f ca="1">OFFSET('IEPR Gas Prices Nominal'!$U14,0,M$2)</f>
        <v>4.1052257487361272</v>
      </c>
      <c r="N15" s="96">
        <f ca="1">OFFSET('IEPR Gas Prices Nominal'!$U14,0,N$2)</f>
        <v>4.2030131561791775</v>
      </c>
      <c r="O15" s="96">
        <f ca="1">OFFSET('IEPR Gas Prices Nominal'!$U14,0,O$2)</f>
        <v>4.3081794252016943</v>
      </c>
      <c r="P15" s="96">
        <f ca="1">OFFSET('IEPR Gas Prices Nominal'!$U14,0,P$2)</f>
        <v>4.4222623717150791</v>
      </c>
      <c r="Q15" s="96">
        <f ca="1">OFFSET('IEPR Gas Prices Nominal'!$U14,0,Q$2)</f>
        <v>4.5433853453848441</v>
      </c>
      <c r="R15" s="96">
        <f ca="1">OFFSET('IEPR Gas Prices Nominal'!$U14,0,R$2)</f>
        <v>4.6470875274148096</v>
      </c>
      <c r="S15" s="96">
        <f ca="1">OFFSET('IEPR Gas Prices Nominal'!$U14,0,S$2)</f>
        <v>4.7494137156381369</v>
      </c>
      <c r="T15" s="96">
        <f ca="1">OFFSET('IEPR Gas Prices Nominal'!$U14,0,T$2)</f>
        <v>4.8542239139466146</v>
      </c>
      <c r="U15" s="96">
        <f ca="1">OFFSET('IEPR Gas Prices Nominal'!$U14,0,U$2)</f>
        <v>4.9643006021685681</v>
      </c>
      <c r="V15" s="96">
        <f ca="1">OFFSET('IEPR Gas Prices Nominal'!$U14,0,V$2)</f>
        <v>5.0778915626111054</v>
      </c>
      <c r="W15" s="96">
        <f ca="1">OFFSET('IEPR Gas Prices Nominal'!$U14,0,W$2)</f>
        <v>5.196625841263379</v>
      </c>
      <c r="X15" s="74" cm="1">
        <f t="array" aca="1" ref="X15:AN15" ca="1">TREND(U15:W15,$U$25:$W$25,$X$25:$AN$25)</f>
        <v>5.3119312411091641</v>
      </c>
      <c r="Y15" s="74">
        <f ca="1"/>
        <v>5.4280938606565599</v>
      </c>
      <c r="Z15" s="74">
        <f ca="1"/>
        <v>5.544256480203984</v>
      </c>
      <c r="AA15" s="74">
        <f ca="1"/>
        <v>5.6604190997513797</v>
      </c>
      <c r="AB15" s="74">
        <f ca="1"/>
        <v>5.7765817192987754</v>
      </c>
      <c r="AC15" s="74">
        <f ca="1"/>
        <v>5.8927443388461995</v>
      </c>
      <c r="AD15" s="74">
        <f ca="1"/>
        <v>6.0089069583935952</v>
      </c>
      <c r="AE15" s="74">
        <f ca="1"/>
        <v>6.1250695779409909</v>
      </c>
      <c r="AF15" s="74">
        <f ca="1"/>
        <v>6.2412321974884151</v>
      </c>
      <c r="AG15" s="74">
        <f ca="1"/>
        <v>6.3573948170358108</v>
      </c>
      <c r="AH15" s="74">
        <f ca="1"/>
        <v>6.4735574365832065</v>
      </c>
      <c r="AI15" s="74">
        <f ca="1"/>
        <v>6.5897200561306306</v>
      </c>
      <c r="AJ15" s="74">
        <f ca="1"/>
        <v>6.7058826756780263</v>
      </c>
      <c r="AK15" s="74">
        <f ca="1"/>
        <v>6.822045295225422</v>
      </c>
      <c r="AL15" s="74">
        <f ca="1"/>
        <v>6.9382079147728462</v>
      </c>
      <c r="AM15" s="74">
        <f ca="1"/>
        <v>7.0543705343202419</v>
      </c>
      <c r="AN15" s="74">
        <f ca="1"/>
        <v>7.1705331538676376</v>
      </c>
    </row>
    <row r="16" spans="1:41">
      <c r="A16" s="92" t="s">
        <v>378</v>
      </c>
      <c r="B16" s="93"/>
      <c r="F16" s="8"/>
      <c r="G16" s="8"/>
      <c r="H16" s="5"/>
      <c r="I16" s="5"/>
      <c r="J16" s="5"/>
      <c r="K16" s="5"/>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row>
    <row r="17" spans="1:41">
      <c r="A17" s="94" t="s">
        <v>379</v>
      </c>
      <c r="B17" s="95"/>
      <c r="F17" s="8" t="s">
        <v>77</v>
      </c>
      <c r="G17" s="8"/>
      <c r="H17" s="5"/>
      <c r="I17" s="5"/>
      <c r="J17" s="5"/>
      <c r="K17" s="5"/>
      <c r="L17" s="9"/>
      <c r="M17" s="9"/>
      <c r="N17" s="9"/>
      <c r="O17" s="9"/>
      <c r="P17" s="9"/>
      <c r="Q17" s="9"/>
      <c r="R17" s="9"/>
      <c r="S17" s="9"/>
      <c r="T17" s="9"/>
      <c r="U17" s="9"/>
      <c r="V17" s="9"/>
      <c r="W17" s="225"/>
      <c r="X17" s="9"/>
      <c r="Y17" s="9"/>
      <c r="Z17" s="9"/>
      <c r="AA17" s="9"/>
      <c r="AB17" s="9"/>
      <c r="AC17" s="9"/>
      <c r="AD17" s="9"/>
      <c r="AE17" s="9"/>
      <c r="AF17" s="9"/>
      <c r="AG17" s="9"/>
      <c r="AH17" s="9"/>
      <c r="AI17" s="9"/>
      <c r="AJ17" s="9"/>
      <c r="AK17" s="9"/>
      <c r="AL17" s="9"/>
      <c r="AM17" s="9"/>
      <c r="AN17" s="9"/>
    </row>
    <row r="18" spans="1:41">
      <c r="F18" s="8"/>
      <c r="G18" s="8"/>
      <c r="H18" s="5"/>
      <c r="I18" s="5"/>
      <c r="J18" s="5"/>
      <c r="K18" s="5"/>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row>
    <row r="19" spans="1:41" ht="14.4">
      <c r="F19" s="17" t="s">
        <v>520</v>
      </c>
      <c r="G19" s="17"/>
      <c r="H19" s="14"/>
      <c r="I19" s="18"/>
      <c r="J19" s="18"/>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row>
    <row r="20" spans="1:41" ht="14.4">
      <c r="H20" s="80"/>
      <c r="I20" s="99"/>
      <c r="J20" s="99"/>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row>
    <row r="21" spans="1:41" ht="14.4">
      <c r="F21" t="s">
        <v>467</v>
      </c>
      <c r="G21" s="9"/>
      <c r="I21" s="215"/>
      <c r="J21" s="99"/>
      <c r="K21" s="80"/>
      <c r="L21" s="80"/>
      <c r="M21" s="80"/>
      <c r="N21" s="80"/>
      <c r="O21" s="80"/>
      <c r="P21" s="80"/>
      <c r="Q21" s="80"/>
      <c r="R21" s="80"/>
      <c r="S21" s="80"/>
      <c r="T21" s="80"/>
      <c r="U21" s="80"/>
      <c r="V21" s="80"/>
      <c r="W21" s="226">
        <f>W17+W26</f>
        <v>5.4843333333333334E-2</v>
      </c>
      <c r="X21" s="80"/>
      <c r="Y21" s="80"/>
      <c r="Z21" s="80"/>
      <c r="AA21" s="80"/>
      <c r="AB21" s="80"/>
      <c r="AC21" s="80"/>
      <c r="AD21" s="80"/>
      <c r="AE21" s="80"/>
      <c r="AF21" s="80"/>
      <c r="AG21" s="80"/>
      <c r="AH21" s="80"/>
      <c r="AI21" s="80"/>
      <c r="AJ21" s="80"/>
      <c r="AK21" s="80"/>
      <c r="AL21" s="80"/>
      <c r="AM21" s="80"/>
      <c r="AN21" s="80"/>
      <c r="AO21" s="80"/>
    </row>
    <row r="22" spans="1:41">
      <c r="F22" s="10" t="s">
        <v>102</v>
      </c>
      <c r="G22" s="214">
        <f>'Other Inputs'!F5</f>
        <v>1.7129999999999999E-2</v>
      </c>
      <c r="H22" s="9" t="s">
        <v>105</v>
      </c>
      <c r="I22" s="30"/>
      <c r="Z22" s="9"/>
      <c r="AA22" s="9"/>
      <c r="AB22" s="9"/>
      <c r="AC22" s="9"/>
      <c r="AD22" s="9"/>
      <c r="AE22" s="9"/>
      <c r="AF22" s="9"/>
      <c r="AG22" s="9"/>
      <c r="AH22" s="9"/>
      <c r="AI22" s="9"/>
      <c r="AJ22" s="9"/>
      <c r="AK22" s="9"/>
      <c r="AL22" s="9"/>
      <c r="AM22" s="9"/>
      <c r="AN22" s="9"/>
    </row>
    <row r="23" spans="1:41">
      <c r="F23" s="10" t="s">
        <v>103</v>
      </c>
      <c r="G23" s="214">
        <f>'Other Inputs'!F6</f>
        <v>0.10058</v>
      </c>
      <c r="H23" s="9" t="s">
        <v>105</v>
      </c>
      <c r="I23" s="30"/>
      <c r="K23" s="5"/>
      <c r="L23" s="9"/>
      <c r="M23" s="9"/>
      <c r="O23" s="9"/>
      <c r="P23" s="9"/>
      <c r="Q23" s="9"/>
      <c r="R23" s="9"/>
      <c r="S23" s="9"/>
      <c r="T23" s="9"/>
      <c r="V23" s="9"/>
      <c r="W23" s="9"/>
      <c r="X23" s="9"/>
      <c r="Y23" s="9"/>
      <c r="Z23" s="9"/>
      <c r="AA23" s="9"/>
      <c r="AB23" s="9"/>
      <c r="AC23" s="9"/>
      <c r="AD23" s="9"/>
      <c r="AE23" s="9"/>
      <c r="AF23" s="9"/>
      <c r="AG23" s="9"/>
      <c r="AH23" s="9"/>
      <c r="AI23" s="9"/>
      <c r="AJ23" s="9"/>
      <c r="AK23" s="9"/>
      <c r="AL23" s="9"/>
      <c r="AM23" s="9"/>
      <c r="AN23" s="9"/>
    </row>
    <row r="24" spans="1:41">
      <c r="F24" s="10" t="s">
        <v>26</v>
      </c>
      <c r="G24" s="214">
        <f>'Other Inputs'!F7</f>
        <v>4.6820000000000001E-2</v>
      </c>
      <c r="H24" s="9" t="s">
        <v>105</v>
      </c>
      <c r="I24" s="30"/>
      <c r="L24" s="9"/>
      <c r="M24" s="9"/>
      <c r="N24" s="9"/>
      <c r="O24" s="9"/>
      <c r="P24" s="9"/>
      <c r="Q24" s="9"/>
      <c r="R24" s="9"/>
      <c r="S24" s="9"/>
      <c r="T24" s="9"/>
      <c r="V24" s="9"/>
      <c r="W24" s="9"/>
      <c r="AA24" s="9"/>
      <c r="AB24" s="9"/>
      <c r="AC24" s="9"/>
      <c r="AD24" s="9"/>
      <c r="AE24" s="9"/>
      <c r="AF24" s="9"/>
      <c r="AG24" s="9"/>
      <c r="AH24" s="9"/>
      <c r="AI24" s="9"/>
      <c r="AJ24" s="9"/>
      <c r="AK24" s="9"/>
      <c r="AL24" s="9"/>
      <c r="AM24" s="9"/>
      <c r="AN24" s="9"/>
    </row>
    <row r="25" spans="1:41" ht="14.4">
      <c r="F25" s="5"/>
      <c r="G25" s="102">
        <v>2019</v>
      </c>
      <c r="H25" s="54">
        <v>2020</v>
      </c>
      <c r="I25" s="54">
        <v>2021</v>
      </c>
      <c r="J25" s="54">
        <v>2022</v>
      </c>
      <c r="K25" s="54">
        <v>2023</v>
      </c>
      <c r="L25" s="54">
        <v>2024</v>
      </c>
      <c r="M25" s="54">
        <v>2025</v>
      </c>
      <c r="N25" s="54">
        <v>2026</v>
      </c>
      <c r="O25" s="54">
        <v>2027</v>
      </c>
      <c r="P25" s="54">
        <v>2028</v>
      </c>
      <c r="Q25" s="54">
        <v>2029</v>
      </c>
      <c r="R25" s="54">
        <v>2030</v>
      </c>
      <c r="S25" s="54">
        <v>2031</v>
      </c>
      <c r="T25" s="54">
        <v>2032</v>
      </c>
      <c r="U25" s="54">
        <v>2033</v>
      </c>
      <c r="V25" s="54">
        <v>2034</v>
      </c>
      <c r="W25" s="54">
        <v>2035</v>
      </c>
      <c r="X25" s="54">
        <v>2036</v>
      </c>
      <c r="Y25" s="54">
        <v>2037</v>
      </c>
      <c r="Z25" s="54">
        <v>2038</v>
      </c>
      <c r="AA25" s="54">
        <v>2039</v>
      </c>
      <c r="AB25" s="54">
        <v>2040</v>
      </c>
      <c r="AC25" s="54">
        <v>2041</v>
      </c>
      <c r="AD25" s="54">
        <v>2042</v>
      </c>
      <c r="AE25" s="54">
        <v>2043</v>
      </c>
      <c r="AF25" s="54">
        <v>2044</v>
      </c>
      <c r="AG25" s="54">
        <v>2045</v>
      </c>
      <c r="AH25" s="54">
        <v>2046</v>
      </c>
      <c r="AI25" s="54">
        <v>2047</v>
      </c>
      <c r="AJ25" s="54">
        <v>2048</v>
      </c>
      <c r="AK25" s="54">
        <v>2049</v>
      </c>
      <c r="AL25" s="54">
        <v>2050</v>
      </c>
      <c r="AM25" s="54">
        <v>2051</v>
      </c>
      <c r="AN25" s="54">
        <v>2052</v>
      </c>
      <c r="AO25" s="11"/>
    </row>
    <row r="26" spans="1:41" s="100" customFormat="1">
      <c r="F26" s="256" t="s">
        <v>521</v>
      </c>
      <c r="G26" s="227">
        <f>AVERAGE($G$22:$G$24)</f>
        <v>5.4843333333333334E-2</v>
      </c>
      <c r="H26" s="227">
        <f>AVERAGE($G$22:$G$24)</f>
        <v>5.4843333333333334E-2</v>
      </c>
      <c r="I26" s="227">
        <f t="shared" ref="I26:AN26" si="0">AVERAGE($G$22:$G$24)</f>
        <v>5.4843333333333334E-2</v>
      </c>
      <c r="J26" s="227">
        <f t="shared" si="0"/>
        <v>5.4843333333333334E-2</v>
      </c>
      <c r="K26" s="227">
        <f t="shared" si="0"/>
        <v>5.4843333333333334E-2</v>
      </c>
      <c r="L26" s="227">
        <f t="shared" si="0"/>
        <v>5.4843333333333334E-2</v>
      </c>
      <c r="M26" s="227">
        <f t="shared" si="0"/>
        <v>5.4843333333333334E-2</v>
      </c>
      <c r="N26" s="227">
        <f t="shared" si="0"/>
        <v>5.4843333333333334E-2</v>
      </c>
      <c r="O26" s="227">
        <f t="shared" si="0"/>
        <v>5.4843333333333334E-2</v>
      </c>
      <c r="P26" s="227">
        <f t="shared" si="0"/>
        <v>5.4843333333333334E-2</v>
      </c>
      <c r="Q26" s="227">
        <f t="shared" si="0"/>
        <v>5.4843333333333334E-2</v>
      </c>
      <c r="R26" s="227">
        <f t="shared" si="0"/>
        <v>5.4843333333333334E-2</v>
      </c>
      <c r="S26" s="227">
        <f t="shared" si="0"/>
        <v>5.4843333333333334E-2</v>
      </c>
      <c r="T26" s="227">
        <f t="shared" si="0"/>
        <v>5.4843333333333334E-2</v>
      </c>
      <c r="U26" s="227">
        <f t="shared" si="0"/>
        <v>5.4843333333333334E-2</v>
      </c>
      <c r="V26" s="227">
        <f t="shared" si="0"/>
        <v>5.4843333333333334E-2</v>
      </c>
      <c r="W26" s="227">
        <f t="shared" si="0"/>
        <v>5.4843333333333334E-2</v>
      </c>
      <c r="X26" s="227">
        <f t="shared" si="0"/>
        <v>5.4843333333333334E-2</v>
      </c>
      <c r="Y26" s="227">
        <f t="shared" si="0"/>
        <v>5.4843333333333334E-2</v>
      </c>
      <c r="Z26" s="227">
        <f t="shared" si="0"/>
        <v>5.4843333333333334E-2</v>
      </c>
      <c r="AA26" s="227">
        <f t="shared" si="0"/>
        <v>5.4843333333333334E-2</v>
      </c>
      <c r="AB26" s="227">
        <f t="shared" si="0"/>
        <v>5.4843333333333334E-2</v>
      </c>
      <c r="AC26" s="227">
        <f t="shared" si="0"/>
        <v>5.4843333333333334E-2</v>
      </c>
      <c r="AD26" s="227">
        <f t="shared" si="0"/>
        <v>5.4843333333333334E-2</v>
      </c>
      <c r="AE26" s="227">
        <f t="shared" si="0"/>
        <v>5.4843333333333334E-2</v>
      </c>
      <c r="AF26" s="227">
        <f t="shared" si="0"/>
        <v>5.4843333333333334E-2</v>
      </c>
      <c r="AG26" s="227">
        <f t="shared" si="0"/>
        <v>5.4843333333333334E-2</v>
      </c>
      <c r="AH26" s="227">
        <f t="shared" si="0"/>
        <v>5.4843333333333334E-2</v>
      </c>
      <c r="AI26" s="227">
        <f t="shared" si="0"/>
        <v>5.4843333333333334E-2</v>
      </c>
      <c r="AJ26" s="227">
        <f t="shared" si="0"/>
        <v>5.4843333333333334E-2</v>
      </c>
      <c r="AK26" s="227">
        <f t="shared" si="0"/>
        <v>5.4843333333333334E-2</v>
      </c>
      <c r="AL26" s="227">
        <f t="shared" si="0"/>
        <v>5.4843333333333334E-2</v>
      </c>
      <c r="AM26" s="227">
        <f t="shared" si="0"/>
        <v>5.4843333333333334E-2</v>
      </c>
      <c r="AN26" s="227">
        <f t="shared" si="0"/>
        <v>5.4843333333333334E-2</v>
      </c>
      <c r="AO26" s="101"/>
    </row>
    <row r="27" spans="1:41" s="11" customFormat="1">
      <c r="F27" s="19"/>
      <c r="G27" s="216"/>
      <c r="H27"/>
      <c r="I27" s="217"/>
      <c r="K27" s="58"/>
    </row>
    <row r="28" spans="1:41">
      <c r="F28" s="20" t="s">
        <v>468</v>
      </c>
      <c r="G28" s="20"/>
      <c r="AO28" s="11"/>
    </row>
    <row r="29" spans="1:41" ht="14.4">
      <c r="F29" s="5"/>
      <c r="G29" s="102">
        <v>2019</v>
      </c>
      <c r="H29" s="54">
        <v>2020</v>
      </c>
      <c r="I29" s="54">
        <v>2021</v>
      </c>
      <c r="J29" s="54">
        <v>2022</v>
      </c>
      <c r="K29" s="54">
        <v>2023</v>
      </c>
      <c r="L29" s="54">
        <v>2024</v>
      </c>
      <c r="M29" s="54">
        <v>2025</v>
      </c>
      <c r="N29" s="54">
        <v>2026</v>
      </c>
      <c r="O29" s="54">
        <v>2027</v>
      </c>
      <c r="P29" s="54">
        <v>2028</v>
      </c>
      <c r="Q29" s="54">
        <v>2029</v>
      </c>
      <c r="R29" s="54">
        <v>2030</v>
      </c>
      <c r="S29" s="54">
        <v>2031</v>
      </c>
      <c r="T29" s="54">
        <v>2032</v>
      </c>
      <c r="U29" s="54">
        <v>2033</v>
      </c>
      <c r="V29" s="54">
        <v>2034</v>
      </c>
      <c r="W29" s="54">
        <v>2035</v>
      </c>
      <c r="X29" s="54">
        <v>2036</v>
      </c>
      <c r="Y29" s="54">
        <v>2037</v>
      </c>
      <c r="Z29" s="54">
        <v>2038</v>
      </c>
      <c r="AA29" s="54">
        <v>2039</v>
      </c>
      <c r="AB29" s="54">
        <v>2040</v>
      </c>
      <c r="AC29" s="54">
        <v>2041</v>
      </c>
      <c r="AD29" s="54">
        <v>2042</v>
      </c>
      <c r="AE29" s="54">
        <v>2043</v>
      </c>
      <c r="AF29" s="54">
        <v>2044</v>
      </c>
      <c r="AG29" s="54">
        <v>2045</v>
      </c>
      <c r="AH29" s="54">
        <v>2046</v>
      </c>
      <c r="AI29" s="54">
        <v>2047</v>
      </c>
      <c r="AJ29" s="54">
        <v>2048</v>
      </c>
      <c r="AK29" s="54">
        <v>2049</v>
      </c>
      <c r="AL29" s="54">
        <v>2050</v>
      </c>
      <c r="AM29" s="54">
        <v>2051</v>
      </c>
      <c r="AN29" s="54">
        <v>2052</v>
      </c>
      <c r="AO29" s="11"/>
    </row>
    <row r="30" spans="1:41">
      <c r="D30" s="65"/>
      <c r="E30" s="12"/>
      <c r="F30" s="21" t="s">
        <v>5</v>
      </c>
      <c r="G30" s="229">
        <f ca="1">'IEPR Gas Prices Real'!Y3+G$26*'Other Inputs'!$F$9</f>
        <v>4.2630210144026135</v>
      </c>
      <c r="H30" s="229">
        <f ca="1">'IEPR Gas Prices Real'!Z3+H$26*'Other Inputs'!$F$9</f>
        <v>4.4589335759997777</v>
      </c>
      <c r="I30" s="229">
        <f ca="1">'IEPR Gas Prices Real'!AA3+I$26*'Other Inputs'!$F$9</f>
        <v>4.4879711624569811</v>
      </c>
      <c r="J30" s="229">
        <f ca="1">'IEPR Gas Prices Real'!AB3+J$26*'Other Inputs'!$F$9</f>
        <v>4.4880206679995087</v>
      </c>
      <c r="K30" s="229">
        <f ca="1">'IEPR Gas Prices Real'!AC3+K$26*'Other Inputs'!$F$9</f>
        <v>4.5174466905689776</v>
      </c>
      <c r="L30" s="229">
        <f ca="1">'IEPR Gas Prices Real'!AD3+L$26*'Other Inputs'!$F$9</f>
        <v>4.5248819910868878</v>
      </c>
      <c r="M30" s="229">
        <f ca="1">'IEPR Gas Prices Real'!AE3+M$26*'Other Inputs'!$F$9</f>
        <v>4.5250854721189926</v>
      </c>
      <c r="N30" s="229">
        <f ca="1">'IEPR Gas Prices Real'!AF3+N$26*'Other Inputs'!$F$9</f>
        <v>4.5425109895191831</v>
      </c>
      <c r="O30" s="229">
        <f ca="1">'IEPR Gas Prices Real'!AG3+O$26*'Other Inputs'!$F$9</f>
        <v>4.5624898042278561</v>
      </c>
      <c r="P30" s="229">
        <f ca="1">'IEPR Gas Prices Real'!AH3+P$26*'Other Inputs'!$F$9</f>
        <v>4.586998205821053</v>
      </c>
      <c r="Q30" s="229">
        <f ca="1">'IEPR Gas Prices Real'!AI3+Q$26*'Other Inputs'!$F$9</f>
        <v>4.6180614367538748</v>
      </c>
      <c r="R30" s="229">
        <f ca="1">'IEPR Gas Prices Real'!AJ3+R$26*'Other Inputs'!$F$9</f>
        <v>4.6514875793016399</v>
      </c>
      <c r="S30" s="229">
        <f ca="1">'IEPR Gas Prices Real'!AK3+S$26*'Other Inputs'!$F$9</f>
        <v>4.661607148505337</v>
      </c>
      <c r="T30" s="229">
        <f ca="1">'IEPR Gas Prices Real'!AL3+T$26*'Other Inputs'!$F$9</f>
        <v>4.675515063960292</v>
      </c>
      <c r="U30" s="229">
        <f ca="1">'IEPR Gas Prices Real'!AM3+U$26*'Other Inputs'!$F$9</f>
        <v>4.6911798772426794</v>
      </c>
      <c r="V30" s="229">
        <f ca="1">'IEPR Gas Prices Real'!AN3+V$26*'Other Inputs'!$F$9</f>
        <v>4.7098951498765498</v>
      </c>
      <c r="W30" s="229">
        <f ca="1">'IEPR Gas Prices Real'!AO3+W$26*'Other Inputs'!$F$9</f>
        <v>4.7301151854923296</v>
      </c>
      <c r="X30" s="228" cm="1">
        <f t="array" aca="1" ref="X30:AN30" ca="1">TREND(U30:W30,$U$25:$W$25,$X$25:$AN$25)</f>
        <v>4.7493320457868364</v>
      </c>
      <c r="Y30" s="228">
        <f ca="1"/>
        <v>4.7687996999116677</v>
      </c>
      <c r="Z30" s="228">
        <f ca="1"/>
        <v>4.788267354036492</v>
      </c>
      <c r="AA30" s="228">
        <f ca="1"/>
        <v>4.8077350081613162</v>
      </c>
      <c r="AB30" s="228">
        <f ca="1"/>
        <v>4.8272026622861404</v>
      </c>
      <c r="AC30" s="228">
        <f ca="1"/>
        <v>4.8466703164109646</v>
      </c>
      <c r="AD30" s="228">
        <f ca="1"/>
        <v>4.8661379705357888</v>
      </c>
      <c r="AE30" s="228">
        <f ca="1"/>
        <v>4.885605624660613</v>
      </c>
      <c r="AF30" s="228">
        <f ca="1"/>
        <v>4.9050732787854443</v>
      </c>
      <c r="AG30" s="228">
        <f ca="1"/>
        <v>4.9245409329102685</v>
      </c>
      <c r="AH30" s="228">
        <f ca="1"/>
        <v>4.9440085870350927</v>
      </c>
      <c r="AI30" s="228">
        <f ca="1"/>
        <v>4.9634762411599169</v>
      </c>
      <c r="AJ30" s="228">
        <f ca="1"/>
        <v>4.9829438952847411</v>
      </c>
      <c r="AK30" s="228">
        <f ca="1"/>
        <v>5.0024115494095653</v>
      </c>
      <c r="AL30" s="228">
        <f ca="1"/>
        <v>5.0218792035343895</v>
      </c>
      <c r="AM30" s="228">
        <f ca="1"/>
        <v>5.0413468576592138</v>
      </c>
      <c r="AN30" s="228">
        <f ca="1"/>
        <v>5.060814511784038</v>
      </c>
      <c r="AO30" s="11"/>
    </row>
    <row r="31" spans="1:41">
      <c r="E31" s="12"/>
      <c r="F31" s="21" t="s">
        <v>6</v>
      </c>
      <c r="G31" s="229">
        <f ca="1">'IEPR Gas Prices Real'!Y4+G$26*'Other Inputs'!$F$9</f>
        <v>4.3396157421236801</v>
      </c>
      <c r="H31" s="229">
        <f ca="1">'IEPR Gas Prices Real'!Z4+H$26*'Other Inputs'!$F$9</f>
        <v>4.5541055943347244</v>
      </c>
      <c r="I31" s="229">
        <f ca="1">'IEPR Gas Prices Real'!AA4+I$26*'Other Inputs'!$F$9</f>
        <v>4.5717587227381529</v>
      </c>
      <c r="J31" s="229">
        <f ca="1">'IEPR Gas Prices Real'!AB4+J$26*'Other Inputs'!$F$9</f>
        <v>4.5686126543592165</v>
      </c>
      <c r="K31" s="229">
        <f ca="1">'IEPR Gas Prices Real'!AC4+K$26*'Other Inputs'!$F$9</f>
        <v>4.6006985359067638</v>
      </c>
      <c r="L31" s="229">
        <f ca="1">'IEPR Gas Prices Real'!AD4+L$26*'Other Inputs'!$F$9</f>
        <v>4.6067178015496983</v>
      </c>
      <c r="M31" s="229">
        <f ca="1">'IEPR Gas Prices Real'!AE4+M$26*'Other Inputs'!$F$9</f>
        <v>4.6062372087742913</v>
      </c>
      <c r="N31" s="229">
        <f ca="1">'IEPR Gas Prices Real'!AF4+N$26*'Other Inputs'!$F$9</f>
        <v>4.625316844095928</v>
      </c>
      <c r="O31" s="229">
        <f ca="1">'IEPR Gas Prices Real'!AG4+O$26*'Other Inputs'!$F$9</f>
        <v>4.6460033151900033</v>
      </c>
      <c r="P31" s="229">
        <f ca="1">'IEPR Gas Prices Real'!AH4+P$26*'Other Inputs'!$F$9</f>
        <v>4.6713900362408696</v>
      </c>
      <c r="Q31" s="229">
        <f ca="1">'IEPR Gas Prices Real'!AI4+Q$26*'Other Inputs'!$F$9</f>
        <v>4.7036302164765882</v>
      </c>
      <c r="R31" s="229">
        <f ca="1">'IEPR Gas Prices Real'!AJ4+R$26*'Other Inputs'!$F$9</f>
        <v>4.7379651459045018</v>
      </c>
      <c r="S31" s="229">
        <f ca="1">'IEPR Gas Prices Real'!AK4+S$26*'Other Inputs'!$F$9</f>
        <v>4.746479153469215</v>
      </c>
      <c r="T31" s="229">
        <f ca="1">'IEPR Gas Prices Real'!AL4+T$26*'Other Inputs'!$F$9</f>
        <v>4.7608286044148285</v>
      </c>
      <c r="U31" s="229">
        <f ca="1">'IEPR Gas Prices Real'!AM4+U$26*'Other Inputs'!$F$9</f>
        <v>4.776962849700281</v>
      </c>
      <c r="V31" s="229">
        <f ca="1">'IEPR Gas Prices Real'!AN4+V$26*'Other Inputs'!$F$9</f>
        <v>4.7963106718995876</v>
      </c>
      <c r="W31" s="229">
        <f ca="1">'IEPR Gas Prices Real'!AO4+W$26*'Other Inputs'!$F$9</f>
        <v>4.8170803761041769</v>
      </c>
      <c r="X31" s="228" cm="1">
        <f t="array" aca="1" ref="X31:AN31" ca="1">TREND(U31:W31,$U$25:$W$25,$X$25:$AN$25)</f>
        <v>4.8369021589719097</v>
      </c>
      <c r="Y31" s="228">
        <f ca="1"/>
        <v>4.8569609221738546</v>
      </c>
      <c r="Z31" s="228">
        <f ca="1"/>
        <v>4.8770196853758065</v>
      </c>
      <c r="AA31" s="228">
        <f ca="1"/>
        <v>4.8970784485777514</v>
      </c>
      <c r="AB31" s="228">
        <f ca="1"/>
        <v>4.9171372117797034</v>
      </c>
      <c r="AC31" s="228">
        <f ca="1"/>
        <v>4.9371959749816483</v>
      </c>
      <c r="AD31" s="228">
        <f ca="1"/>
        <v>4.9572547381835932</v>
      </c>
      <c r="AE31" s="228">
        <f ca="1"/>
        <v>4.9773135013855452</v>
      </c>
      <c r="AF31" s="228">
        <f ca="1"/>
        <v>4.9973722645874901</v>
      </c>
      <c r="AG31" s="228">
        <f ca="1"/>
        <v>5.0174310277894421</v>
      </c>
      <c r="AH31" s="228">
        <f ca="1"/>
        <v>5.0374897909913869</v>
      </c>
      <c r="AI31" s="228">
        <f ca="1"/>
        <v>5.0575485541933389</v>
      </c>
      <c r="AJ31" s="228">
        <f ca="1"/>
        <v>5.0776073173952838</v>
      </c>
      <c r="AK31" s="228">
        <f ca="1"/>
        <v>5.0976660805972287</v>
      </c>
      <c r="AL31" s="228">
        <f ca="1"/>
        <v>5.1177248437991807</v>
      </c>
      <c r="AM31" s="228">
        <f ca="1"/>
        <v>5.1377836070011256</v>
      </c>
      <c r="AN31" s="228">
        <f ca="1"/>
        <v>5.1578423702030776</v>
      </c>
      <c r="AO31" s="11"/>
    </row>
    <row r="32" spans="1:41">
      <c r="E32" s="12"/>
      <c r="F32" s="21" t="s">
        <v>7</v>
      </c>
      <c r="G32" s="229">
        <f ca="1">'IEPR Gas Prices Real'!Y5+G$26*'Other Inputs'!$F$9</f>
        <v>3.9345340590610896</v>
      </c>
      <c r="H32" s="229">
        <f ca="1">'IEPR Gas Prices Real'!Z5+H$26*'Other Inputs'!$F$9</f>
        <v>4.1390843855656136</v>
      </c>
      <c r="I32" s="229">
        <f ca="1">'IEPR Gas Prices Real'!AA5+I$26*'Other Inputs'!$F$9</f>
        <v>4.1441533386156166</v>
      </c>
      <c r="J32" s="229">
        <f ca="1">'IEPR Gas Prices Real'!AB5+J$26*'Other Inputs'!$F$9</f>
        <v>4.1384896747938154</v>
      </c>
      <c r="K32" s="229">
        <f ca="1">'IEPR Gas Prices Real'!AC5+K$26*'Other Inputs'!$F$9</f>
        <v>4.1689801246887512</v>
      </c>
      <c r="L32" s="229">
        <f ca="1">'IEPR Gas Prices Real'!AD5+L$26*'Other Inputs'!$F$9</f>
        <v>4.1729552097878964</v>
      </c>
      <c r="M32" s="229">
        <f ca="1">'IEPR Gas Prices Real'!AE5+M$26*'Other Inputs'!$F$9</f>
        <v>4.1719115175272243</v>
      </c>
      <c r="N32" s="229">
        <f ca="1">'IEPR Gas Prices Real'!AF5+N$26*'Other Inputs'!$F$9</f>
        <v>4.1901084562046043</v>
      </c>
      <c r="O32" s="229">
        <f ca="1">'IEPR Gas Prices Real'!AG5+O$26*'Other Inputs'!$F$9</f>
        <v>4.2088485907958484</v>
      </c>
      <c r="P32" s="229">
        <f ca="1">'IEPR Gas Prices Real'!AH5+P$26*'Other Inputs'!$F$9</f>
        <v>4.2318557375862857</v>
      </c>
      <c r="Q32" s="229">
        <f ca="1">'IEPR Gas Prices Real'!AI5+Q$26*'Other Inputs'!$F$9</f>
        <v>4.2611299992508833</v>
      </c>
      <c r="R32" s="229">
        <f ca="1">'IEPR Gas Prices Real'!AJ5+R$26*'Other Inputs'!$F$9</f>
        <v>4.2919922911348314</v>
      </c>
      <c r="S32" s="229">
        <f ca="1">'IEPR Gas Prices Real'!AK5+S$26*'Other Inputs'!$F$9</f>
        <v>4.2979769466210582</v>
      </c>
      <c r="T32" s="229">
        <f ca="1">'IEPR Gas Prices Real'!AL5+T$26*'Other Inputs'!$F$9</f>
        <v>4.3109313385605637</v>
      </c>
      <c r="U32" s="229">
        <f ca="1">'IEPR Gas Prices Real'!AM5+U$26*'Other Inputs'!$F$9</f>
        <v>4.3254723852738861</v>
      </c>
      <c r="V32" s="229">
        <f ca="1">'IEPR Gas Prices Real'!AN5+V$26*'Other Inputs'!$F$9</f>
        <v>4.3429731119036132</v>
      </c>
      <c r="W32" s="229">
        <f ca="1">'IEPR Gas Prices Real'!AO5+W$26*'Other Inputs'!$F$9</f>
        <v>4.3616421027870889</v>
      </c>
      <c r="X32" s="228" cm="1">
        <f t="array" aca="1" ref="X32:AN32" ca="1">TREND(U32:W32,$U$25:$W$25,$X$25:$AN$25)</f>
        <v>4.3795322508347354</v>
      </c>
      <c r="Y32" s="228">
        <f ca="1"/>
        <v>4.3976171095913372</v>
      </c>
      <c r="Z32" s="228">
        <f ca="1"/>
        <v>4.415701968347939</v>
      </c>
      <c r="AA32" s="228">
        <f ca="1"/>
        <v>4.4337868271045409</v>
      </c>
      <c r="AB32" s="228">
        <f ca="1"/>
        <v>4.4518716858611427</v>
      </c>
      <c r="AC32" s="228">
        <f ca="1"/>
        <v>4.4699565446177374</v>
      </c>
      <c r="AD32" s="228">
        <f ca="1"/>
        <v>4.4880414033743392</v>
      </c>
      <c r="AE32" s="228">
        <f ca="1"/>
        <v>4.506126262130941</v>
      </c>
      <c r="AF32" s="228">
        <f ca="1"/>
        <v>4.5242111208875428</v>
      </c>
      <c r="AG32" s="228">
        <f ca="1"/>
        <v>4.5422959796441447</v>
      </c>
      <c r="AH32" s="228">
        <f ca="1"/>
        <v>4.5603808384007465</v>
      </c>
      <c r="AI32" s="228">
        <f ca="1"/>
        <v>4.5784656971573483</v>
      </c>
      <c r="AJ32" s="228">
        <f ca="1"/>
        <v>4.5965505559139501</v>
      </c>
      <c r="AK32" s="228">
        <f ca="1"/>
        <v>4.6146354146705519</v>
      </c>
      <c r="AL32" s="228">
        <f ca="1"/>
        <v>4.6327202734271538</v>
      </c>
      <c r="AM32" s="228">
        <f ca="1"/>
        <v>4.6508051321837556</v>
      </c>
      <c r="AN32" s="228">
        <f ca="1"/>
        <v>4.6688899909403574</v>
      </c>
      <c r="AO32" s="11"/>
    </row>
    <row r="33" spans="5:41">
      <c r="E33" s="12"/>
      <c r="F33" s="21" t="s">
        <v>8</v>
      </c>
      <c r="G33" s="229">
        <f ca="1">'IEPR Gas Prices Real'!Y6+G$26*'Other Inputs'!$F$9</f>
        <v>3.9296876076566694</v>
      </c>
      <c r="H33" s="229">
        <f ca="1">'IEPR Gas Prices Real'!Z6+H$26*'Other Inputs'!$F$9</f>
        <v>4.1468990750920103</v>
      </c>
      <c r="I33" s="229">
        <f ca="1">'IEPR Gas Prices Real'!AA6+I$26*'Other Inputs'!$F$9</f>
        <v>4.1412829658008228</v>
      </c>
      <c r="J33" s="229">
        <f ca="1">'IEPR Gas Prices Real'!AB6+J$26*'Other Inputs'!$F$9</f>
        <v>4.132779038317576</v>
      </c>
      <c r="K33" s="229">
        <f ca="1">'IEPR Gas Prices Real'!AC6+K$26*'Other Inputs'!$F$9</f>
        <v>4.1650552865520698</v>
      </c>
      <c r="L33" s="229">
        <f ca="1">'IEPR Gas Prices Real'!AD6+L$26*'Other Inputs'!$F$9</f>
        <v>4.1676262906154129</v>
      </c>
      <c r="M33" s="229">
        <f ca="1">'IEPR Gas Prices Real'!AE6+M$26*'Other Inputs'!$F$9</f>
        <v>4.1659708000381297</v>
      </c>
      <c r="N33" s="229">
        <f ca="1">'IEPR Gas Prices Real'!AF6+N$26*'Other Inputs'!$F$9</f>
        <v>4.1852954469226544</v>
      </c>
      <c r="O33" s="229">
        <f ca="1">'IEPR Gas Prices Real'!AG6+O$26*'Other Inputs'!$F$9</f>
        <v>4.2042722410472591</v>
      </c>
      <c r="P33" s="229">
        <f ca="1">'IEPR Gas Prices Real'!AH6+P$26*'Other Inputs'!$F$9</f>
        <v>4.2275787864232264</v>
      </c>
      <c r="Q33" s="229">
        <f ca="1">'IEPR Gas Prices Real'!AI6+Q$26*'Other Inputs'!$F$9</f>
        <v>4.2572891383490221</v>
      </c>
      <c r="R33" s="229">
        <f ca="1">'IEPR Gas Prices Real'!AJ6+R$26*'Other Inputs'!$F$9</f>
        <v>4.2883028822711884</v>
      </c>
      <c r="S33" s="229">
        <f ca="1">'IEPR Gas Prices Real'!AK6+S$26*'Other Inputs'!$F$9</f>
        <v>4.2926623800241099</v>
      </c>
      <c r="T33" s="229">
        <f ca="1">'IEPR Gas Prices Real'!AL6+T$26*'Other Inputs'!$F$9</f>
        <v>4.3057361267982044</v>
      </c>
      <c r="U33" s="229">
        <f ca="1">'IEPR Gas Prices Real'!AM6+U$26*'Other Inputs'!$F$9</f>
        <v>4.3203868342277119</v>
      </c>
      <c r="V33" s="229">
        <f ca="1">'IEPR Gas Prices Real'!AN6+V$26*'Other Inputs'!$F$9</f>
        <v>4.338082285324889</v>
      </c>
      <c r="W33" s="229">
        <f ca="1">'IEPR Gas Prices Real'!AO6+W$26*'Other Inputs'!$F$9</f>
        <v>4.3568428282317644</v>
      </c>
      <c r="X33" s="228" cm="1">
        <f t="array" aca="1" ref="X33:AN33" ca="1">TREND(U33:W33,$U$25:$W$25,$X$25:$AN$25)</f>
        <v>4.3748933099321761</v>
      </c>
      <c r="Y33" s="228">
        <f ca="1"/>
        <v>4.393121306934205</v>
      </c>
      <c r="Z33" s="228">
        <f ca="1"/>
        <v>4.4113493039362339</v>
      </c>
      <c r="AA33" s="228">
        <f ca="1"/>
        <v>4.4295773009382557</v>
      </c>
      <c r="AB33" s="228">
        <f ca="1"/>
        <v>4.4478052979402847</v>
      </c>
      <c r="AC33" s="228">
        <f ca="1"/>
        <v>4.4660332949423136</v>
      </c>
      <c r="AD33" s="228">
        <f ca="1"/>
        <v>4.4842612919443354</v>
      </c>
      <c r="AE33" s="228">
        <f ca="1"/>
        <v>4.5024892889463644</v>
      </c>
      <c r="AF33" s="228">
        <f ca="1"/>
        <v>4.5207172859483862</v>
      </c>
      <c r="AG33" s="228">
        <f ca="1"/>
        <v>4.5389452829504151</v>
      </c>
      <c r="AH33" s="228">
        <f ca="1"/>
        <v>4.557173279952444</v>
      </c>
      <c r="AI33" s="228">
        <f ca="1"/>
        <v>4.5754012769544659</v>
      </c>
      <c r="AJ33" s="228">
        <f ca="1"/>
        <v>4.5936292739564948</v>
      </c>
      <c r="AK33" s="228">
        <f ca="1"/>
        <v>4.6118572709585237</v>
      </c>
      <c r="AL33" s="228">
        <f ca="1"/>
        <v>4.6300852679605455</v>
      </c>
      <c r="AM33" s="228">
        <f ca="1"/>
        <v>4.6483132649625745</v>
      </c>
      <c r="AN33" s="228">
        <f ca="1"/>
        <v>4.6665412619646034</v>
      </c>
      <c r="AO33" s="11"/>
    </row>
    <row r="34" spans="5:41">
      <c r="E34" s="12"/>
      <c r="F34" s="21" t="s">
        <v>9</v>
      </c>
      <c r="G34" s="229">
        <f ca="1">'IEPR Gas Prices Real'!Y7+G$26*'Other Inputs'!$F$9</f>
        <v>4.1055830096329267</v>
      </c>
      <c r="H34" s="229">
        <f ca="1">'IEPR Gas Prices Real'!Z7+H$26*'Other Inputs'!$F$9</f>
        <v>4.3477155797259961</v>
      </c>
      <c r="I34" s="229">
        <f ca="1">'IEPR Gas Prices Real'!AA7+I$26*'Other Inputs'!$F$9</f>
        <v>4.3305791382911147</v>
      </c>
      <c r="J34" s="229">
        <f ca="1">'IEPR Gas Prices Real'!AB7+J$26*'Other Inputs'!$F$9</f>
        <v>4.3186376454269269</v>
      </c>
      <c r="K34" s="229">
        <f ca="1">'IEPR Gas Prices Real'!AC7+K$26*'Other Inputs'!$F$9</f>
        <v>4.3545166626419682</v>
      </c>
      <c r="L34" s="229">
        <f ca="1">'IEPR Gas Prices Real'!AD7+L$26*'Other Inputs'!$F$9</f>
        <v>4.3557509428194567</v>
      </c>
      <c r="M34" s="229">
        <f ca="1">'IEPR Gas Prices Real'!AE7+M$26*'Other Inputs'!$F$9</f>
        <v>4.3533644290713411</v>
      </c>
      <c r="N34" s="229">
        <f ca="1">'IEPR Gas Prices Real'!AF7+N$26*'Other Inputs'!$F$9</f>
        <v>4.3749075801441704</v>
      </c>
      <c r="O34" s="229">
        <f ca="1">'IEPR Gas Prices Real'!AG7+O$26*'Other Inputs'!$F$9</f>
        <v>4.3951486240671809</v>
      </c>
      <c r="P34" s="229">
        <f ca="1">'IEPR Gas Prices Real'!AH7+P$26*'Other Inputs'!$F$9</f>
        <v>4.4200170510806567</v>
      </c>
      <c r="Q34" s="229">
        <f ca="1">'IEPR Gas Prices Real'!AI7+Q$26*'Other Inputs'!$F$9</f>
        <v>4.4517755850572396</v>
      </c>
      <c r="R34" s="229">
        <f ca="1">'IEPR Gas Prices Real'!AJ7+R$26*'Other Inputs'!$F$9</f>
        <v>4.4846083950843454</v>
      </c>
      <c r="S34" s="229">
        <f ca="1">'IEPR Gas Prices Real'!AK7+S$26*'Other Inputs'!$F$9</f>
        <v>4.4874947605050428</v>
      </c>
      <c r="T34" s="229">
        <f ca="1">'IEPR Gas Prices Real'!AL7+T$26*'Other Inputs'!$F$9</f>
        <v>4.5013936172737257</v>
      </c>
      <c r="U34" s="229">
        <f ca="1">'IEPR Gas Prices Real'!AM7+U$26*'Other Inputs'!$F$9</f>
        <v>4.5169436635924418</v>
      </c>
      <c r="V34" s="229">
        <f ca="1">'IEPR Gas Prices Real'!AN7+V$26*'Other Inputs'!$F$9</f>
        <v>4.5357907461411902</v>
      </c>
      <c r="W34" s="229">
        <f ca="1">'IEPR Gas Prices Real'!AO7+W$26*'Other Inputs'!$F$9</f>
        <v>4.5556515953734911</v>
      </c>
      <c r="X34" s="228" cm="1">
        <f t="array" aca="1" ref="X34:AN34" ca="1">TREND(U34:W34,$U$25:$W$25,$X$25:$AN$25)</f>
        <v>4.5748366001500855</v>
      </c>
      <c r="Y34" s="228">
        <f ca="1"/>
        <v>4.5941905660406164</v>
      </c>
      <c r="Z34" s="228">
        <f ca="1"/>
        <v>4.6135445319311401</v>
      </c>
      <c r="AA34" s="228">
        <f ca="1"/>
        <v>4.6328984978216639</v>
      </c>
      <c r="AB34" s="228">
        <f ca="1"/>
        <v>4.6522524637121876</v>
      </c>
      <c r="AC34" s="228">
        <f ca="1"/>
        <v>4.6716064296027113</v>
      </c>
      <c r="AD34" s="228">
        <f ca="1"/>
        <v>4.6909603954932351</v>
      </c>
      <c r="AE34" s="228">
        <f ca="1"/>
        <v>4.7103143613837588</v>
      </c>
      <c r="AF34" s="228">
        <f ca="1"/>
        <v>4.7296683272742897</v>
      </c>
      <c r="AG34" s="228">
        <f ca="1"/>
        <v>4.7490222931648134</v>
      </c>
      <c r="AH34" s="228">
        <f ca="1"/>
        <v>4.7683762590553371</v>
      </c>
      <c r="AI34" s="228">
        <f ca="1"/>
        <v>4.7877302249458609</v>
      </c>
      <c r="AJ34" s="228">
        <f ca="1"/>
        <v>4.8070841908363846</v>
      </c>
      <c r="AK34" s="228">
        <f ca="1"/>
        <v>4.8264381567269083</v>
      </c>
      <c r="AL34" s="228">
        <f ca="1"/>
        <v>4.8457921226174321</v>
      </c>
      <c r="AM34" s="228">
        <f ca="1"/>
        <v>4.8651460885079558</v>
      </c>
      <c r="AN34" s="228">
        <f ca="1"/>
        <v>4.8845000543984796</v>
      </c>
      <c r="AO34" s="11"/>
    </row>
    <row r="35" spans="5:41">
      <c r="E35" s="12"/>
      <c r="F35" s="21" t="s">
        <v>10</v>
      </c>
      <c r="G35" s="229">
        <f ca="1">'IEPR Gas Prices Real'!Y8+G$26*'Other Inputs'!$F$9</f>
        <v>4.0718832656270507</v>
      </c>
      <c r="H35" s="229">
        <f ca="1">'IEPR Gas Prices Real'!Z8+H$26*'Other Inputs'!$F$9</f>
        <v>4.1748651289473635</v>
      </c>
      <c r="I35" s="229">
        <f ca="1">'IEPR Gas Prices Real'!AA8+I$26*'Other Inputs'!$F$9</f>
        <v>4.1952197117967325</v>
      </c>
      <c r="J35" s="229">
        <f ca="1">'IEPR Gas Prices Real'!AB8+J$26*'Other Inputs'!$F$9</f>
        <v>4.2093843819838765</v>
      </c>
      <c r="K35" s="229">
        <f ca="1">'IEPR Gas Prices Real'!AC8+K$26*'Other Inputs'!$F$9</f>
        <v>4.2262298675248644</v>
      </c>
      <c r="L35" s="229">
        <f ca="1">'IEPR Gas Prices Real'!AD8+L$26*'Other Inputs'!$F$9</f>
        <v>4.2307907724240437</v>
      </c>
      <c r="M35" s="229">
        <f ca="1">'IEPR Gas Prices Real'!AE8+M$26*'Other Inputs'!$F$9</f>
        <v>4.238676898503198</v>
      </c>
      <c r="N35" s="229">
        <f ca="1">'IEPR Gas Prices Real'!AF8+N$26*'Other Inputs'!$F$9</f>
        <v>4.2552715212918857</v>
      </c>
      <c r="O35" s="229">
        <f ca="1">'IEPR Gas Prices Real'!AG8+O$26*'Other Inputs'!$F$9</f>
        <v>4.2755635156306342</v>
      </c>
      <c r="P35" s="229">
        <f ca="1">'IEPR Gas Prices Real'!AH8+P$26*'Other Inputs'!$F$9</f>
        <v>4.3008778134357026</v>
      </c>
      <c r="Q35" s="229">
        <f ca="1">'IEPR Gas Prices Real'!AI8+Q$26*'Other Inputs'!$F$9</f>
        <v>4.3303902152420424</v>
      </c>
      <c r="R35" s="229">
        <f ca="1">'IEPR Gas Prices Real'!AJ8+R$26*'Other Inputs'!$F$9</f>
        <v>4.3512734509538991</v>
      </c>
      <c r="S35" s="229">
        <f ca="1">'IEPR Gas Prices Real'!AK8+S$26*'Other Inputs'!$F$9</f>
        <v>4.3631500910755472</v>
      </c>
      <c r="T35" s="229">
        <f ca="1">'IEPR Gas Prices Real'!AL8+T$26*'Other Inputs'!$F$9</f>
        <v>4.3767041589715161</v>
      </c>
      <c r="U35" s="229">
        <f ca="1">'IEPR Gas Prices Real'!AM8+U$26*'Other Inputs'!$F$9</f>
        <v>4.3924421023867026</v>
      </c>
      <c r="V35" s="229">
        <f ca="1">'IEPR Gas Prices Real'!AN8+V$26*'Other Inputs'!$F$9</f>
        <v>4.4102951070631375</v>
      </c>
      <c r="W35" s="229">
        <f ca="1">'IEPR Gas Prices Real'!AO8+W$26*'Other Inputs'!$F$9</f>
        <v>4.4303396060861857</v>
      </c>
      <c r="X35" s="228" cm="1">
        <f t="array" aca="1" ref="X35:AN35" ca="1">TREND(U35:W35,$U$25:$W$25,$X$25:$AN$25)</f>
        <v>4.4489231088781551</v>
      </c>
      <c r="Y35" s="228">
        <f ca="1"/>
        <v>4.4678718607278967</v>
      </c>
      <c r="Z35" s="228">
        <f ca="1"/>
        <v>4.4868206125776382</v>
      </c>
      <c r="AA35" s="228">
        <f ca="1"/>
        <v>4.5057693644273797</v>
      </c>
      <c r="AB35" s="228">
        <f ca="1"/>
        <v>4.5247181162771213</v>
      </c>
      <c r="AC35" s="228">
        <f ca="1"/>
        <v>4.5436668681268628</v>
      </c>
      <c r="AD35" s="228">
        <f ca="1"/>
        <v>4.5626156199766044</v>
      </c>
      <c r="AE35" s="228">
        <f ca="1"/>
        <v>4.5815643718263459</v>
      </c>
      <c r="AF35" s="228">
        <f ca="1"/>
        <v>4.6005131236760874</v>
      </c>
      <c r="AG35" s="228">
        <f ca="1"/>
        <v>4.619461875525829</v>
      </c>
      <c r="AH35" s="228">
        <f ca="1"/>
        <v>4.6384106273755705</v>
      </c>
      <c r="AI35" s="228">
        <f ca="1"/>
        <v>4.6573593792253121</v>
      </c>
      <c r="AJ35" s="228">
        <f ca="1"/>
        <v>4.6763081310750536</v>
      </c>
      <c r="AK35" s="228">
        <f ca="1"/>
        <v>4.6952568829247951</v>
      </c>
      <c r="AL35" s="228">
        <f ca="1"/>
        <v>4.7142056347745367</v>
      </c>
      <c r="AM35" s="228">
        <f ca="1"/>
        <v>4.7331543866242782</v>
      </c>
      <c r="AN35" s="228">
        <f ca="1"/>
        <v>4.7521031384740198</v>
      </c>
      <c r="AO35" s="11"/>
    </row>
    <row r="36" spans="5:41">
      <c r="E36" s="12"/>
      <c r="F36" s="21" t="s">
        <v>11</v>
      </c>
      <c r="G36" s="229">
        <f ca="1">'IEPR Gas Prices Real'!Y9+G$26*'Other Inputs'!$F$9</f>
        <v>4.1203399079743139</v>
      </c>
      <c r="H36" s="229">
        <f ca="1">'IEPR Gas Prices Real'!Z9+H$26*'Other Inputs'!$F$9</f>
        <v>4.2133485827518049</v>
      </c>
      <c r="I36" s="229">
        <f ca="1">'IEPR Gas Prices Real'!AA9+I$26*'Other Inputs'!$F$9</f>
        <v>4.2309718387697632</v>
      </c>
      <c r="J36" s="229">
        <f ca="1">'IEPR Gas Prices Real'!AB9+J$26*'Other Inputs'!$F$9</f>
        <v>4.2471622100760342</v>
      </c>
      <c r="K36" s="229">
        <f ca="1">'IEPR Gas Prices Real'!AC9+K$26*'Other Inputs'!$F$9</f>
        <v>4.2627350536569697</v>
      </c>
      <c r="L36" s="229">
        <f ca="1">'IEPR Gas Prices Real'!AD9+L$26*'Other Inputs'!$F$9</f>
        <v>4.2667096441109482</v>
      </c>
      <c r="M36" s="229">
        <f ca="1">'IEPR Gas Prices Real'!AE9+M$26*'Other Inputs'!$F$9</f>
        <v>4.2758628647351387</v>
      </c>
      <c r="N36" s="229">
        <f ca="1">'IEPR Gas Prices Real'!AF9+N$26*'Other Inputs'!$F$9</f>
        <v>4.2928942777753392</v>
      </c>
      <c r="O36" s="229">
        <f ca="1">'IEPR Gas Prices Real'!AG9+O$26*'Other Inputs'!$F$9</f>
        <v>4.3137308282103666</v>
      </c>
      <c r="P36" s="229">
        <f ca="1">'IEPR Gas Prices Real'!AH9+P$26*'Other Inputs'!$F$9</f>
        <v>4.3397897805598191</v>
      </c>
      <c r="Q36" s="229">
        <f ca="1">'IEPR Gas Prices Real'!AI9+Q$26*'Other Inputs'!$F$9</f>
        <v>4.3697978019612327</v>
      </c>
      <c r="R36" s="229">
        <f ca="1">'IEPR Gas Prices Real'!AJ9+R$26*'Other Inputs'!$F$9</f>
        <v>4.3892238604068279</v>
      </c>
      <c r="S36" s="229">
        <f ca="1">'IEPR Gas Prices Real'!AK9+S$26*'Other Inputs'!$F$9</f>
        <v>4.4013609056851681</v>
      </c>
      <c r="T36" s="229">
        <f ca="1">'IEPR Gas Prices Real'!AL9+T$26*'Other Inputs'!$F$9</f>
        <v>4.4151844481784144</v>
      </c>
      <c r="U36" s="229">
        <f ca="1">'IEPR Gas Prices Real'!AM9+U$26*'Other Inputs'!$F$9</f>
        <v>4.4313056191056885</v>
      </c>
      <c r="V36" s="229">
        <f ca="1">'IEPR Gas Prices Real'!AN9+V$26*'Other Inputs'!$F$9</f>
        <v>4.4494583709847983</v>
      </c>
      <c r="W36" s="229">
        <f ca="1">'IEPR Gas Prices Real'!AO9+W$26*'Other Inputs'!$F$9</f>
        <v>4.4699408878723688</v>
      </c>
      <c r="X36" s="228" cm="1">
        <f t="array" aca="1" ref="X36:AN36" ca="1">TREND(U36:W36,$U$25:$W$25,$X$25:$AN$25)</f>
        <v>4.4888702280876274</v>
      </c>
      <c r="Y36" s="228">
        <f ca="1"/>
        <v>4.5081878624709688</v>
      </c>
      <c r="Z36" s="228">
        <f ca="1"/>
        <v>4.5275054968543103</v>
      </c>
      <c r="AA36" s="228">
        <f ca="1"/>
        <v>4.5468231312376517</v>
      </c>
      <c r="AB36" s="228">
        <f ca="1"/>
        <v>4.5661407656209931</v>
      </c>
      <c r="AC36" s="228">
        <f ca="1"/>
        <v>4.5854584000043275</v>
      </c>
      <c r="AD36" s="228">
        <f ca="1"/>
        <v>4.6047760343876689</v>
      </c>
      <c r="AE36" s="228">
        <f ca="1"/>
        <v>4.6240936687710104</v>
      </c>
      <c r="AF36" s="228">
        <f ca="1"/>
        <v>4.6434113031543518</v>
      </c>
      <c r="AG36" s="228">
        <f ca="1"/>
        <v>4.6627289375376932</v>
      </c>
      <c r="AH36" s="228">
        <f ca="1"/>
        <v>4.6820465719210276</v>
      </c>
      <c r="AI36" s="228">
        <f ca="1"/>
        <v>4.701364206304369</v>
      </c>
      <c r="AJ36" s="228">
        <f ca="1"/>
        <v>4.7206818406877105</v>
      </c>
      <c r="AK36" s="228">
        <f ca="1"/>
        <v>4.7399994750710519</v>
      </c>
      <c r="AL36" s="228">
        <f ca="1"/>
        <v>4.7593171094543933</v>
      </c>
      <c r="AM36" s="228">
        <f ca="1"/>
        <v>4.7786347438377277</v>
      </c>
      <c r="AN36" s="228">
        <f ca="1"/>
        <v>4.7979523782210691</v>
      </c>
      <c r="AO36" s="11"/>
    </row>
    <row r="37" spans="5:41">
      <c r="E37" s="12"/>
      <c r="F37" s="21" t="s">
        <v>12</v>
      </c>
      <c r="G37" s="229">
        <f ca="1">'IEPR Gas Prices Real'!Y10+G$26*'Other Inputs'!$F$9</f>
        <v>4.1610994826151417</v>
      </c>
      <c r="H37" s="229">
        <f ca="1">'IEPR Gas Prices Real'!Z10+H$26*'Other Inputs'!$F$9</f>
        <v>4.2437409970829769</v>
      </c>
      <c r="I37" s="229">
        <f ca="1">'IEPR Gas Prices Real'!AA10+I$26*'Other Inputs'!$F$9</f>
        <v>4.2585437779158211</v>
      </c>
      <c r="J37" s="229">
        <f ca="1">'IEPR Gas Prices Real'!AB10+J$26*'Other Inputs'!$F$9</f>
        <v>4.2767560755007992</v>
      </c>
      <c r="K37" s="229">
        <f ca="1">'IEPR Gas Prices Real'!AC10+K$26*'Other Inputs'!$F$9</f>
        <v>4.2909971556351305</v>
      </c>
      <c r="L37" s="229">
        <f ca="1">'IEPR Gas Prices Real'!AD10+L$26*'Other Inputs'!$F$9</f>
        <v>4.294365837310437</v>
      </c>
      <c r="M37" s="229">
        <f ca="1">'IEPR Gas Prices Real'!AE10+M$26*'Other Inputs'!$F$9</f>
        <v>4.3047861177869873</v>
      </c>
      <c r="N37" s="229">
        <f ca="1">'IEPR Gas Prices Real'!AF10+N$26*'Other Inputs'!$F$9</f>
        <v>4.3222211646235529</v>
      </c>
      <c r="O37" s="229">
        <f ca="1">'IEPR Gas Prices Real'!AG10+O$26*'Other Inputs'!$F$9</f>
        <v>4.3435618822771627</v>
      </c>
      <c r="P37" s="229">
        <f ca="1">'IEPR Gas Prices Real'!AH10+P$26*'Other Inputs'!$F$9</f>
        <v>4.3703160732414137</v>
      </c>
      <c r="Q37" s="229">
        <f ca="1">'IEPR Gas Prices Real'!AI10+Q$26*'Other Inputs'!$F$9</f>
        <v>4.4007565753630846</v>
      </c>
      <c r="R37" s="229">
        <f ca="1">'IEPR Gas Prices Real'!AJ10+R$26*'Other Inputs'!$F$9</f>
        <v>4.4186539522248562</v>
      </c>
      <c r="S37" s="229">
        <f ca="1">'IEPR Gas Prices Real'!AK10+S$26*'Other Inputs'!$F$9</f>
        <v>4.4310268982330729</v>
      </c>
      <c r="T37" s="229">
        <f ca="1">'IEPR Gas Prices Real'!AL10+T$26*'Other Inputs'!$F$9</f>
        <v>4.4450915387762784</v>
      </c>
      <c r="U37" s="229">
        <f ca="1">'IEPR Gas Prices Real'!AM10+U$26*'Other Inputs'!$F$9</f>
        <v>4.4615640322189964</v>
      </c>
      <c r="V37" s="229">
        <f ca="1">'IEPR Gas Prices Real'!AN10+V$26*'Other Inputs'!$F$9</f>
        <v>4.4799783355316976</v>
      </c>
      <c r="W37" s="229">
        <f ca="1">'IEPR Gas Prices Real'!AO10+W$26*'Other Inputs'!$F$9</f>
        <v>4.5008574916795627</v>
      </c>
      <c r="X37" s="228" cm="1">
        <f t="array" aca="1" ref="X37:AN37" ca="1">TREND(U37:W37,$U$25:$W$25,$X$25:$AN$25)</f>
        <v>4.520093412603984</v>
      </c>
      <c r="Y37" s="228">
        <f ca="1"/>
        <v>4.5397401423342671</v>
      </c>
      <c r="Z37" s="228">
        <f ca="1"/>
        <v>4.5593868720645503</v>
      </c>
      <c r="AA37" s="228">
        <f ca="1"/>
        <v>4.5790336017948334</v>
      </c>
      <c r="AB37" s="228">
        <f ca="1"/>
        <v>4.5986803315251166</v>
      </c>
      <c r="AC37" s="228">
        <f ca="1"/>
        <v>4.6183270612553997</v>
      </c>
      <c r="AD37" s="228">
        <f ca="1"/>
        <v>4.6379737909856829</v>
      </c>
      <c r="AE37" s="228">
        <f ca="1"/>
        <v>4.657620520715966</v>
      </c>
      <c r="AF37" s="228">
        <f ca="1"/>
        <v>4.6772672504462491</v>
      </c>
      <c r="AG37" s="228">
        <f ca="1"/>
        <v>4.6969139801765323</v>
      </c>
      <c r="AH37" s="228">
        <f ca="1"/>
        <v>4.7165607099068154</v>
      </c>
      <c r="AI37" s="228">
        <f ca="1"/>
        <v>4.7362074396370986</v>
      </c>
      <c r="AJ37" s="228">
        <f ca="1"/>
        <v>4.7558541693673817</v>
      </c>
      <c r="AK37" s="228">
        <f ca="1"/>
        <v>4.7755008990976648</v>
      </c>
      <c r="AL37" s="228">
        <f ca="1"/>
        <v>4.795147628827948</v>
      </c>
      <c r="AM37" s="228">
        <f ca="1"/>
        <v>4.8147943585582311</v>
      </c>
      <c r="AN37" s="228">
        <f ca="1"/>
        <v>4.8344410882885143</v>
      </c>
      <c r="AO37" s="11"/>
    </row>
    <row r="38" spans="5:41">
      <c r="E38" s="12"/>
      <c r="F38" s="21" t="s">
        <v>13</v>
      </c>
      <c r="G38" s="229">
        <f ca="1">'IEPR Gas Prices Real'!Y11+G$26*'Other Inputs'!$F$9</f>
        <v>3.8522660152942647</v>
      </c>
      <c r="H38" s="229">
        <f ca="1">'IEPR Gas Prices Real'!Z11+H$26*'Other Inputs'!$F$9</f>
        <v>3.9174734703139258</v>
      </c>
      <c r="I38" s="229">
        <f ca="1">'IEPR Gas Prices Real'!AA11+I$26*'Other Inputs'!$F$9</f>
        <v>3.9282692688579459</v>
      </c>
      <c r="J38" s="229">
        <f ca="1">'IEPR Gas Prices Real'!AB11+J$26*'Other Inputs'!$F$9</f>
        <v>3.9465915767156581</v>
      </c>
      <c r="K38" s="229">
        <f ca="1">'IEPR Gas Prices Real'!AC11+K$26*'Other Inputs'!$F$9</f>
        <v>3.9582456643908479</v>
      </c>
      <c r="L38" s="229">
        <f ca="1">'IEPR Gas Prices Real'!AD11+L$26*'Other Inputs'!$F$9</f>
        <v>3.9607354633892768</v>
      </c>
      <c r="M38" s="229">
        <f ca="1">'IEPR Gas Prices Real'!AE11+M$26*'Other Inputs'!$F$9</f>
        <v>3.971319816799995</v>
      </c>
      <c r="N38" s="229">
        <f ca="1">'IEPR Gas Prices Real'!AF11+N$26*'Other Inputs'!$F$9</f>
        <v>3.987454295797618</v>
      </c>
      <c r="O38" s="229">
        <f ca="1">'IEPR Gas Prices Real'!AG11+O$26*'Other Inputs'!$F$9</f>
        <v>4.0072123836883247</v>
      </c>
      <c r="P38" s="229">
        <f ca="1">'IEPR Gas Prices Real'!AH11+P$26*'Other Inputs'!$F$9</f>
        <v>4.0320404599280106</v>
      </c>
      <c r="Q38" s="229">
        <f ca="1">'IEPR Gas Prices Real'!AI11+Q$26*'Other Inputs'!$F$9</f>
        <v>4.0599604247336849</v>
      </c>
      <c r="R38" s="229">
        <f ca="1">'IEPR Gas Prices Real'!AJ11+R$26*'Other Inputs'!$F$9</f>
        <v>4.0747396827544904</v>
      </c>
      <c r="S38" s="229">
        <f ca="1">'IEPR Gas Prices Real'!AK11+S$26*'Other Inputs'!$F$9</f>
        <v>4.0861432874269843</v>
      </c>
      <c r="T38" s="229">
        <f ca="1">'IEPR Gas Prices Real'!AL11+T$26*'Other Inputs'!$F$9</f>
        <v>4.0990812242472492</v>
      </c>
      <c r="U38" s="229">
        <f ca="1">'IEPR Gas Prices Real'!AM11+U$26*'Other Inputs'!$F$9</f>
        <v>4.1142973960214109</v>
      </c>
      <c r="V38" s="229">
        <f ca="1">'IEPR Gas Prices Real'!AN11+V$26*'Other Inputs'!$F$9</f>
        <v>4.1311868939317868</v>
      </c>
      <c r="W38" s="229">
        <f ca="1">'IEPR Gas Prices Real'!AO11+W$26*'Other Inputs'!$F$9</f>
        <v>4.1504289803972734</v>
      </c>
      <c r="X38" s="228" cm="1">
        <f t="array" aca="1" ref="X38:AN38" ca="1">TREND(U38:W38,$U$25:$W$25,$X$25:$AN$25)</f>
        <v>4.1681026744926797</v>
      </c>
      <c r="Y38" s="228">
        <f ca="1"/>
        <v>4.1861684666806127</v>
      </c>
      <c r="Z38" s="228">
        <f ca="1"/>
        <v>4.2042342588685457</v>
      </c>
      <c r="AA38" s="228">
        <f ca="1"/>
        <v>4.2223000510564717</v>
      </c>
      <c r="AB38" s="228">
        <f ca="1"/>
        <v>4.2403658432444047</v>
      </c>
      <c r="AC38" s="228">
        <f ca="1"/>
        <v>4.2584316354323377</v>
      </c>
      <c r="AD38" s="228">
        <f ca="1"/>
        <v>4.2764974276202707</v>
      </c>
      <c r="AE38" s="228">
        <f ca="1"/>
        <v>4.2945632198081967</v>
      </c>
      <c r="AF38" s="228">
        <f ca="1"/>
        <v>4.3126290119961297</v>
      </c>
      <c r="AG38" s="228">
        <f ca="1"/>
        <v>4.3306948041840627</v>
      </c>
      <c r="AH38" s="228">
        <f ca="1"/>
        <v>4.3487605963719957</v>
      </c>
      <c r="AI38" s="228">
        <f ca="1"/>
        <v>4.3668263885599217</v>
      </c>
      <c r="AJ38" s="228">
        <f ca="1"/>
        <v>4.3848921807478547</v>
      </c>
      <c r="AK38" s="228">
        <f ca="1"/>
        <v>4.4029579729357877</v>
      </c>
      <c r="AL38" s="228">
        <f ca="1"/>
        <v>4.4210237651237136</v>
      </c>
      <c r="AM38" s="228">
        <f ca="1"/>
        <v>4.4390895573116467</v>
      </c>
      <c r="AN38" s="228">
        <f ca="1"/>
        <v>4.4571553494995797</v>
      </c>
      <c r="AO38" s="11"/>
    </row>
    <row r="39" spans="5:41">
      <c r="E39" s="12"/>
      <c r="F39" s="21" t="s">
        <v>14</v>
      </c>
      <c r="G39" s="229">
        <f ca="1">'IEPR Gas Prices Real'!Y12+G$26*'Other Inputs'!$F$9</f>
        <v>3.8964536709729094</v>
      </c>
      <c r="H39" s="229">
        <f ca="1">'IEPR Gas Prices Real'!Z12+H$26*'Other Inputs'!$F$9</f>
        <v>3.9521075208028975</v>
      </c>
      <c r="I39" s="229">
        <f ca="1">'IEPR Gas Prices Real'!AA12+I$26*'Other Inputs'!$F$9</f>
        <v>3.9602912530243897</v>
      </c>
      <c r="J39" s="229">
        <f ca="1">'IEPR Gas Prices Real'!AB12+J$26*'Other Inputs'!$F$9</f>
        <v>3.9805345929252125</v>
      </c>
      <c r="K39" s="229">
        <f ca="1">'IEPR Gas Prices Real'!AC12+K$26*'Other Inputs'!$F$9</f>
        <v>3.9909675268434119</v>
      </c>
      <c r="L39" s="229">
        <f ca="1">'IEPR Gas Prices Real'!AD12+L$26*'Other Inputs'!$F$9</f>
        <v>3.9928965060348647</v>
      </c>
      <c r="M39" s="229">
        <f ca="1">'IEPR Gas Prices Real'!AE12+M$26*'Other Inputs'!$F$9</f>
        <v>4.0046830224100098</v>
      </c>
      <c r="N39" s="229">
        <f ca="1">'IEPR Gas Prices Real'!AF12+N$26*'Other Inputs'!$F$9</f>
        <v>4.0212242171583581</v>
      </c>
      <c r="O39" s="229">
        <f ca="1">'IEPR Gas Prices Real'!AG12+O$26*'Other Inputs'!$F$9</f>
        <v>4.0414895865906884</v>
      </c>
      <c r="P39" s="229">
        <f ca="1">'IEPR Gas Prices Real'!AH12+P$26*'Other Inputs'!$F$9</f>
        <v>4.0670126953614911</v>
      </c>
      <c r="Q39" s="229">
        <f ca="1">'IEPR Gas Prices Real'!AI12+Q$26*'Other Inputs'!$F$9</f>
        <v>4.0953882333210654</v>
      </c>
      <c r="R39" s="229">
        <f ca="1">'IEPR Gas Prices Real'!AJ12+R$26*'Other Inputs'!$F$9</f>
        <v>4.1087683839940787</v>
      </c>
      <c r="S39" s="229">
        <f ca="1">'IEPR Gas Prices Real'!AK12+S$26*'Other Inputs'!$F$9</f>
        <v>4.1204133647267698</v>
      </c>
      <c r="T39" s="229">
        <f ca="1">'IEPR Gas Prices Real'!AL12+T$26*'Other Inputs'!$F$9</f>
        <v>4.133600383793425</v>
      </c>
      <c r="U39" s="229">
        <f ca="1">'IEPR Gas Prices Real'!AM12+U$26*'Other Inputs'!$F$9</f>
        <v>4.1491727434423735</v>
      </c>
      <c r="V39" s="229">
        <f ca="1">'IEPR Gas Prices Real'!AN12+V$26*'Other Inputs'!$F$9</f>
        <v>4.166337766472453</v>
      </c>
      <c r="W39" s="229">
        <f ca="1">'IEPR Gas Prices Real'!AO12+W$26*'Other Inputs'!$F$9</f>
        <v>4.1859858253923097</v>
      </c>
      <c r="X39" s="228" cm="1">
        <f t="array" aca="1" ref="X39:AN39" ca="1">TREND(U39:W39,$U$25:$W$25,$X$25:$AN$25)</f>
        <v>4.203978527052314</v>
      </c>
      <c r="Y39" s="228">
        <f ca="1"/>
        <v>4.222385068027279</v>
      </c>
      <c r="Z39" s="228">
        <f ca="1"/>
        <v>4.2407916090022511</v>
      </c>
      <c r="AA39" s="228">
        <f ca="1"/>
        <v>4.259198149977216</v>
      </c>
      <c r="AB39" s="228">
        <f ca="1"/>
        <v>4.2776046909521881</v>
      </c>
      <c r="AC39" s="228">
        <f ca="1"/>
        <v>4.2960112319271531</v>
      </c>
      <c r="AD39" s="228">
        <f ca="1"/>
        <v>4.314417772902118</v>
      </c>
      <c r="AE39" s="228">
        <f ca="1"/>
        <v>4.3328243138770901</v>
      </c>
      <c r="AF39" s="228">
        <f ca="1"/>
        <v>4.3512308548520551</v>
      </c>
      <c r="AG39" s="228">
        <f ca="1"/>
        <v>4.3696373958270271</v>
      </c>
      <c r="AH39" s="228">
        <f ca="1"/>
        <v>4.3880439368019921</v>
      </c>
      <c r="AI39" s="228">
        <f ca="1"/>
        <v>4.4064504777769642</v>
      </c>
      <c r="AJ39" s="228">
        <f ca="1"/>
        <v>4.4248570187519292</v>
      </c>
      <c r="AK39" s="228">
        <f ca="1"/>
        <v>4.4432635597268941</v>
      </c>
      <c r="AL39" s="228">
        <f ca="1"/>
        <v>4.4616701007018662</v>
      </c>
      <c r="AM39" s="228">
        <f ca="1"/>
        <v>4.4800766416768312</v>
      </c>
      <c r="AN39" s="228">
        <f ca="1"/>
        <v>4.4984831826518032</v>
      </c>
      <c r="AO39" s="11"/>
    </row>
    <row r="40" spans="5:41">
      <c r="E40" s="12"/>
      <c r="F40" s="21" t="s">
        <v>15</v>
      </c>
      <c r="G40" s="229">
        <f ca="1">'IEPR Gas Prices Real'!Y13+G$26*'Other Inputs'!$F$9</f>
        <v>3.8462845528374352</v>
      </c>
      <c r="H40" s="229">
        <f ca="1">'IEPR Gas Prices Real'!Z13+H$26*'Other Inputs'!$F$9</f>
        <v>3.8909150530417911</v>
      </c>
      <c r="I40" s="229">
        <f ca="1">'IEPR Gas Prices Real'!AA13+I$26*'Other Inputs'!$F$9</f>
        <v>3.8962821838311825</v>
      </c>
      <c r="J40" s="229">
        <f ca="1">'IEPR Gas Prices Real'!AB13+J$26*'Other Inputs'!$F$9</f>
        <v>3.9178601678119929</v>
      </c>
      <c r="K40" s="229">
        <f ca="1">'IEPR Gas Prices Real'!AC13+K$26*'Other Inputs'!$F$9</f>
        <v>3.9267909596077599</v>
      </c>
      <c r="L40" s="229">
        <f ca="1">'IEPR Gas Prices Real'!AD13+L$26*'Other Inputs'!$F$9</f>
        <v>3.9281103816391365</v>
      </c>
      <c r="M40" s="229">
        <f ca="1">'IEPR Gas Prices Real'!AE13+M$26*'Other Inputs'!$F$9</f>
        <v>3.9407568385569354</v>
      </c>
      <c r="N40" s="229">
        <f ca="1">'IEPR Gas Prices Real'!AF13+N$26*'Other Inputs'!$F$9</f>
        <v>3.9572367627647029</v>
      </c>
      <c r="O40" s="229">
        <f ca="1">'IEPR Gas Prices Real'!AG13+O$26*'Other Inputs'!$F$9</f>
        <v>3.9774359761297875</v>
      </c>
      <c r="P40" s="229">
        <f ca="1">'IEPR Gas Prices Real'!AH13+P$26*'Other Inputs'!$F$9</f>
        <v>4.0029313657719108</v>
      </c>
      <c r="Q40" s="229">
        <f ca="1">'IEPR Gas Prices Real'!AI13+Q$26*'Other Inputs'!$F$9</f>
        <v>4.030961995141741</v>
      </c>
      <c r="R40" s="229">
        <f ca="1">'IEPR Gas Prices Real'!AJ13+R$26*'Other Inputs'!$F$9</f>
        <v>4.0425810703404625</v>
      </c>
      <c r="S40" s="229">
        <f ca="1">'IEPR Gas Prices Real'!AK13+S$26*'Other Inputs'!$F$9</f>
        <v>4.0541383967793125</v>
      </c>
      <c r="T40" s="229">
        <f ca="1">'IEPR Gas Prices Real'!AL13+T$26*'Other Inputs'!$F$9</f>
        <v>4.0672021300627463</v>
      </c>
      <c r="U40" s="229">
        <f ca="1">'IEPR Gas Prices Real'!AM13+U$26*'Other Inputs'!$F$9</f>
        <v>4.0826903580532647</v>
      </c>
      <c r="V40" s="229">
        <f ca="1">'IEPR Gas Prices Real'!AN13+V$26*'Other Inputs'!$F$9</f>
        <v>4.0996466767661648</v>
      </c>
      <c r="W40" s="229">
        <f ca="1">'IEPR Gas Prices Real'!AO13+W$26*'Other Inputs'!$F$9</f>
        <v>4.1191455622209183</v>
      </c>
      <c r="X40" s="228" cm="1">
        <f t="array" aca="1" ref="X40:AN40" ca="1">TREND(U40:W40,$U$25:$W$25,$X$25:$AN$25)</f>
        <v>4.1369494031811058</v>
      </c>
      <c r="Y40" s="228">
        <f ca="1"/>
        <v>4.1551770052649317</v>
      </c>
      <c r="Z40" s="228">
        <f ca="1"/>
        <v>4.1734046073487576</v>
      </c>
      <c r="AA40" s="228">
        <f ca="1"/>
        <v>4.1916322094325835</v>
      </c>
      <c r="AB40" s="228">
        <f ca="1"/>
        <v>4.2098598115164094</v>
      </c>
      <c r="AC40" s="228">
        <f ca="1"/>
        <v>4.2280874136002353</v>
      </c>
      <c r="AD40" s="228">
        <f ca="1"/>
        <v>4.2463150156840612</v>
      </c>
      <c r="AE40" s="228">
        <f ca="1"/>
        <v>4.2645426177678871</v>
      </c>
      <c r="AF40" s="228">
        <f ca="1"/>
        <v>4.2827702198517201</v>
      </c>
      <c r="AG40" s="228">
        <f ca="1"/>
        <v>4.300997821935546</v>
      </c>
      <c r="AH40" s="228">
        <f ca="1"/>
        <v>4.3192254240193719</v>
      </c>
      <c r="AI40" s="228">
        <f ca="1"/>
        <v>4.3374530261031978</v>
      </c>
      <c r="AJ40" s="228">
        <f ca="1"/>
        <v>4.3556806281870237</v>
      </c>
      <c r="AK40" s="228">
        <f ca="1"/>
        <v>4.3739082302708496</v>
      </c>
      <c r="AL40" s="228">
        <f ca="1"/>
        <v>4.3921358323546755</v>
      </c>
      <c r="AM40" s="228">
        <f ca="1"/>
        <v>4.4103634344385014</v>
      </c>
      <c r="AN40" s="228">
        <f ca="1"/>
        <v>4.4285910365223273</v>
      </c>
      <c r="AO40" s="11"/>
    </row>
    <row r="41" spans="5:41">
      <c r="E41" s="12"/>
      <c r="F41" s="21" t="s">
        <v>16</v>
      </c>
      <c r="G41" s="229">
        <f ca="1">'IEPR Gas Prices Real'!Y14+G$26*'Other Inputs'!$F$9</f>
        <v>4.2070555706981301</v>
      </c>
      <c r="H41" s="229">
        <f ca="1">'IEPR Gas Prices Real'!Z14+H$26*'Other Inputs'!$F$9</f>
        <v>4.2453522319121753</v>
      </c>
      <c r="I41" s="229">
        <f ca="1">'IEPR Gas Prices Real'!AA14+I$26*'Other Inputs'!$F$9</f>
        <v>4.2483410490668616</v>
      </c>
      <c r="J41" s="229">
        <f ca="1">'IEPR Gas Prices Real'!AB14+J$26*'Other Inputs'!$F$9</f>
        <v>4.2740826258946623</v>
      </c>
      <c r="K41" s="229">
        <f ca="1">'IEPR Gas Prices Real'!AC14+K$26*'Other Inputs'!$F$9</f>
        <v>4.282508977442502</v>
      </c>
      <c r="L41" s="229">
        <f ca="1">'IEPR Gas Prices Real'!AD14+L$26*'Other Inputs'!$F$9</f>
        <v>4.2833335715883356</v>
      </c>
      <c r="M41" s="229">
        <f ca="1">'IEPR Gas Prices Real'!AE14+M$26*'Other Inputs'!$F$9</f>
        <v>4.2985045146668917</v>
      </c>
      <c r="N41" s="229">
        <f ca="1">'IEPR Gas Prices Real'!AF14+N$26*'Other Inputs'!$F$9</f>
        <v>4.3169926716175411</v>
      </c>
      <c r="O41" s="229">
        <f ca="1">'IEPR Gas Prices Real'!AG14+O$26*'Other Inputs'!$F$9</f>
        <v>4.3396630439047827</v>
      </c>
      <c r="P41" s="229">
        <f ca="1">'IEPR Gas Prices Real'!AH14+P$26*'Other Inputs'!$F$9</f>
        <v>4.3683380075639953</v>
      </c>
      <c r="Q41" s="229">
        <f ca="1">'IEPR Gas Prices Real'!AI14+Q$26*'Other Inputs'!$F$9</f>
        <v>4.399523451529042</v>
      </c>
      <c r="R41" s="229">
        <f ca="1">'IEPR Gas Prices Real'!AJ14+R$26*'Other Inputs'!$F$9</f>
        <v>4.4106957597533398</v>
      </c>
      <c r="S41" s="229">
        <f ca="1">'IEPR Gas Prices Real'!AK14+S$26*'Other Inputs'!$F$9</f>
        <v>4.4236130028828642</v>
      </c>
      <c r="T41" s="229">
        <f ca="1">'IEPR Gas Prices Real'!AL14+T$26*'Other Inputs'!$F$9</f>
        <v>4.4381876607698558</v>
      </c>
      <c r="U41" s="229">
        <f ca="1">'IEPR Gas Prices Real'!AM14+U$26*'Other Inputs'!$F$9</f>
        <v>4.4555344884394295</v>
      </c>
      <c r="V41" s="229">
        <f ca="1">'IEPR Gas Prices Real'!AN14+V$26*'Other Inputs'!$F$9</f>
        <v>4.474399153967255</v>
      </c>
      <c r="W41" s="229">
        <f ca="1">'IEPR Gas Prices Real'!AO14+W$26*'Other Inputs'!$F$9</f>
        <v>4.4961910195485304</v>
      </c>
      <c r="X41" s="228" cm="1">
        <f t="array" aca="1" ref="X41:AN41" ca="1">TREND(U41:W41,$U$25:$W$25,$X$25:$AN$25)</f>
        <v>4.5160314184275023</v>
      </c>
      <c r="Y41" s="228">
        <f ca="1"/>
        <v>4.5363596839820559</v>
      </c>
      <c r="Z41" s="228">
        <f ca="1"/>
        <v>4.5566879495366024</v>
      </c>
      <c r="AA41" s="228">
        <f ca="1"/>
        <v>4.577016215091156</v>
      </c>
      <c r="AB41" s="228">
        <f ca="1"/>
        <v>4.5973444806457096</v>
      </c>
      <c r="AC41" s="228">
        <f ca="1"/>
        <v>4.617672746200256</v>
      </c>
      <c r="AD41" s="228">
        <f ca="1"/>
        <v>4.6380010117548096</v>
      </c>
      <c r="AE41" s="228">
        <f ca="1"/>
        <v>4.6583292773093561</v>
      </c>
      <c r="AF41" s="228">
        <f ca="1"/>
        <v>4.6786575428639097</v>
      </c>
      <c r="AG41" s="228">
        <f ca="1"/>
        <v>4.6989858084184561</v>
      </c>
      <c r="AH41" s="228">
        <f ca="1"/>
        <v>4.7193140739730097</v>
      </c>
      <c r="AI41" s="228">
        <f ca="1"/>
        <v>4.7396423395275562</v>
      </c>
      <c r="AJ41" s="228">
        <f ca="1"/>
        <v>4.7599706050821098</v>
      </c>
      <c r="AK41" s="228">
        <f ca="1"/>
        <v>4.7802988706366634</v>
      </c>
      <c r="AL41" s="228">
        <f ca="1"/>
        <v>4.8006271361912098</v>
      </c>
      <c r="AM41" s="228">
        <f ca="1"/>
        <v>4.8209554017457634</v>
      </c>
      <c r="AN41" s="228">
        <f ca="1"/>
        <v>4.8412836673003099</v>
      </c>
      <c r="AO41" s="11"/>
    </row>
    <row r="42" spans="5:41">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11"/>
    </row>
    <row r="43" spans="5:41">
      <c r="F43" s="5" t="s">
        <v>370</v>
      </c>
      <c r="G43" s="5"/>
      <c r="H43" s="5"/>
      <c r="I43" s="5"/>
      <c r="J43" s="5"/>
      <c r="K43" s="5"/>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11"/>
    </row>
    <row r="44" spans="5:41">
      <c r="F44" s="5"/>
      <c r="G44" s="5"/>
      <c r="H44" s="5"/>
      <c r="I44" s="5"/>
      <c r="J44" s="5"/>
      <c r="K44" s="5"/>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11"/>
    </row>
    <row r="45" spans="5:41">
      <c r="F45" s="53">
        <v>36526</v>
      </c>
      <c r="G45" s="33">
        <f ca="1">G4/'Other Inputs'!$F$9</f>
        <v>0.36219880960430173</v>
      </c>
      <c r="H45" s="33">
        <f ca="1">H4/'Other Inputs'!$F$9</f>
        <v>0.38872266376219688</v>
      </c>
      <c r="I45" s="33">
        <f ca="1">I4/'Other Inputs'!$F$9</f>
        <v>0.39936356590144134</v>
      </c>
      <c r="J45" s="33">
        <f ca="1">J4/'Other Inputs'!$F$9</f>
        <v>0.40740226382291062</v>
      </c>
      <c r="K45" s="33">
        <f ca="1">K4/'Other Inputs'!$F$9</f>
        <v>0.41835655136335531</v>
      </c>
      <c r="L45" s="33">
        <f ca="1">L4/'Other Inputs'!$F$9</f>
        <v>0.42728550339513155</v>
      </c>
      <c r="M45" s="33">
        <f ca="1">M4/'Other Inputs'!$F$9</f>
        <v>0.43547881252667053</v>
      </c>
      <c r="N45" s="33">
        <f ca="1">N4/'Other Inputs'!$F$9</f>
        <v>0.44566442063266987</v>
      </c>
      <c r="O45" s="33">
        <f ca="1">O4/'Other Inputs'!$F$9</f>
        <v>0.45644570802191647</v>
      </c>
      <c r="P45" s="33">
        <f ca="1">P4/'Other Inputs'!$F$9</f>
        <v>0.46799000630177084</v>
      </c>
      <c r="Q45" s="33">
        <f ca="1">Q4/'Other Inputs'!$F$9</f>
        <v>0.48067205209102887</v>
      </c>
      <c r="R45" s="33">
        <f ca="1">R4/'Other Inputs'!$F$9</f>
        <v>0.49386639804852994</v>
      </c>
      <c r="S45" s="33">
        <f ca="1">S4/'Other Inputs'!$F$9</f>
        <v>0.50439779882697389</v>
      </c>
      <c r="T45" s="33">
        <f ca="1">T4/'Other Inputs'!$F$9</f>
        <v>0.51539604251435711</v>
      </c>
      <c r="U45" s="33">
        <f ca="1">U4/'Other Inputs'!$F$9</f>
        <v>0.5268355482985867</v>
      </c>
      <c r="V45" s="33">
        <f ca="1">V4/'Other Inputs'!$F$9</f>
        <v>0.53879266202513965</v>
      </c>
      <c r="W45" s="33">
        <f ca="1">W4/'Other Inputs'!$F$9</f>
        <v>0.5511362039711315</v>
      </c>
      <c r="X45" s="33">
        <f ca="1">X4/'Other Inputs'!$F$9</f>
        <v>0.56322212710416297</v>
      </c>
      <c r="Y45" s="33">
        <f ca="1">Y4/'Other Inputs'!$F$9</f>
        <v>0.57537245494043532</v>
      </c>
      <c r="Z45" s="33">
        <f ca="1">Z4/'Other Inputs'!$F$9</f>
        <v>0.58752278277670766</v>
      </c>
      <c r="AA45" s="33">
        <f ca="1">AA4/'Other Inputs'!$F$9</f>
        <v>0.59967311061298001</v>
      </c>
      <c r="AB45" s="33">
        <f ca="1">AB4/'Other Inputs'!$F$9</f>
        <v>0.61182343844925247</v>
      </c>
      <c r="AC45" s="33">
        <f ca="1">AC4/'Other Inputs'!$F$9</f>
        <v>0.62397376628552481</v>
      </c>
      <c r="AD45" s="33">
        <f ca="1">AD4/'Other Inputs'!$F$9</f>
        <v>0.63612409412179716</v>
      </c>
      <c r="AE45" s="33">
        <f ca="1">AE4/'Other Inputs'!$F$9</f>
        <v>0.6482744219580695</v>
      </c>
      <c r="AF45" s="33">
        <f ca="1">AF4/'Other Inputs'!$F$9</f>
        <v>0.66042474979434185</v>
      </c>
      <c r="AG45" s="33">
        <f ca="1">AG4/'Other Inputs'!$F$9</f>
        <v>0.6725750776306143</v>
      </c>
      <c r="AH45" s="33">
        <f ca="1">AH4/'Other Inputs'!$F$9</f>
        <v>0.68472540546688665</v>
      </c>
      <c r="AI45" s="33">
        <f ca="1">AI4/'Other Inputs'!$F$9</f>
        <v>0.696875733303159</v>
      </c>
      <c r="AJ45" s="33">
        <f ca="1">AJ4/'Other Inputs'!$F$9</f>
        <v>0.70902606113943134</v>
      </c>
      <c r="AK45" s="33">
        <f ca="1">AK4/'Other Inputs'!$F$9</f>
        <v>0.72117638897570369</v>
      </c>
      <c r="AL45" s="33">
        <f ca="1">AL4/'Other Inputs'!$F$9</f>
        <v>0.73332671681197614</v>
      </c>
      <c r="AM45" s="33">
        <f ca="1">AM4/'Other Inputs'!$F$9</f>
        <v>0.74547704464824849</v>
      </c>
      <c r="AN45" s="33">
        <f ca="1">AN4/'Other Inputs'!$F$9</f>
        <v>0.75762737248452083</v>
      </c>
      <c r="AO45" s="11"/>
    </row>
    <row r="46" spans="5:41">
      <c r="F46" s="53">
        <v>36557</v>
      </c>
      <c r="G46" s="33">
        <f ca="1">G5/'Other Inputs'!$F$9</f>
        <v>0.36966948778449032</v>
      </c>
      <c r="H46" s="33">
        <f ca="1">H5/'Other Inputs'!$F$9</f>
        <v>0.39819241472681799</v>
      </c>
      <c r="I46" s="33">
        <f ca="1">I5/'Other Inputs'!$F$9</f>
        <v>0.40785261807953566</v>
      </c>
      <c r="J46" s="33">
        <f ca="1">J5/'Other Inputs'!$F$9</f>
        <v>0.4157355528694201</v>
      </c>
      <c r="K46" s="33">
        <f ca="1">K5/'Other Inputs'!$F$9</f>
        <v>0.42711917076037664</v>
      </c>
      <c r="L46" s="33">
        <f ca="1">L5/'Other Inputs'!$F$9</f>
        <v>0.43607340594912036</v>
      </c>
      <c r="M46" s="33">
        <f ca="1">M5/'Other Inputs'!$F$9</f>
        <v>0.44436494028704876</v>
      </c>
      <c r="N46" s="33">
        <f ca="1">N5/'Other Inputs'!$F$9</f>
        <v>0.45488809955068821</v>
      </c>
      <c r="O46" s="33">
        <f ca="1">O5/'Other Inputs'!$F$9</f>
        <v>0.46591923108466304</v>
      </c>
      <c r="P46" s="33">
        <f ca="1">P5/'Other Inputs'!$F$9</f>
        <v>0.47773676124641823</v>
      </c>
      <c r="Q46" s="33">
        <f ca="1">Q5/'Other Inputs'!$F$9</f>
        <v>0.49073173444548457</v>
      </c>
      <c r="R46" s="33">
        <f ca="1">R5/'Other Inputs'!$F$9</f>
        <v>0.50421781891839346</v>
      </c>
      <c r="S46" s="33">
        <f ca="1">S5/'Other Inputs'!$F$9</f>
        <v>0.51478274858396422</v>
      </c>
      <c r="T46" s="33">
        <f ca="1">T5/'Other Inputs'!$F$9</f>
        <v>0.52602102520863991</v>
      </c>
      <c r="U46" s="33">
        <f ca="1">U5/'Other Inputs'!$F$9</f>
        <v>0.53770876814310453</v>
      </c>
      <c r="V46" s="33">
        <f ca="1">V5/'Other Inputs'!$F$9</f>
        <v>0.54993476454904977</v>
      </c>
      <c r="W46" s="33">
        <f ca="1">W5/'Other Inputs'!$F$9</f>
        <v>0.56254371172972095</v>
      </c>
      <c r="X46" s="33">
        <f ca="1">X5/'Other Inputs'!$F$9</f>
        <v>0.57489735839390899</v>
      </c>
      <c r="Y46" s="33">
        <f ca="1">Y5/'Other Inputs'!$F$9</f>
        <v>0.58731483018721631</v>
      </c>
      <c r="Z46" s="33">
        <f ca="1">Z5/'Other Inputs'!$F$9</f>
        <v>0.59973230198052652</v>
      </c>
      <c r="AA46" s="33">
        <f ca="1">AA5/'Other Inputs'!$F$9</f>
        <v>0.61214977377383373</v>
      </c>
      <c r="AB46" s="33">
        <f ca="1">AB5/'Other Inputs'!$F$9</f>
        <v>0.62456724556714105</v>
      </c>
      <c r="AC46" s="33">
        <f ca="1">AC5/'Other Inputs'!$F$9</f>
        <v>0.63698471736045126</v>
      </c>
      <c r="AD46" s="33">
        <f ca="1">AD5/'Other Inputs'!$F$9</f>
        <v>0.64940218915375847</v>
      </c>
      <c r="AE46" s="33">
        <f ca="1">AE5/'Other Inputs'!$F$9</f>
        <v>0.66181966094706579</v>
      </c>
      <c r="AF46" s="33">
        <f ca="1">AF5/'Other Inputs'!$F$9</f>
        <v>0.674237132740376</v>
      </c>
      <c r="AG46" s="33">
        <f ca="1">AG5/'Other Inputs'!$F$9</f>
        <v>0.68665460453368321</v>
      </c>
      <c r="AH46" s="33">
        <f ca="1">AH5/'Other Inputs'!$F$9</f>
        <v>0.69907207632699053</v>
      </c>
      <c r="AI46" s="33">
        <f ca="1">AI5/'Other Inputs'!$F$9</f>
        <v>0.71148954812030074</v>
      </c>
      <c r="AJ46" s="33">
        <f ca="1">AJ5/'Other Inputs'!$F$9</f>
        <v>0.72390701991360795</v>
      </c>
      <c r="AK46" s="33">
        <f ca="1">AK5/'Other Inputs'!$F$9</f>
        <v>0.73632449170691527</v>
      </c>
      <c r="AL46" s="33">
        <f ca="1">AL5/'Other Inputs'!$F$9</f>
        <v>0.74874196350022548</v>
      </c>
      <c r="AM46" s="33">
        <f ca="1">AM5/'Other Inputs'!$F$9</f>
        <v>0.76115943529353269</v>
      </c>
      <c r="AN46" s="33">
        <f ca="1">AN5/'Other Inputs'!$F$9</f>
        <v>0.77357690708684002</v>
      </c>
      <c r="AO46" s="11"/>
    </row>
    <row r="47" spans="5:41">
      <c r="F47" s="53">
        <v>36586</v>
      </c>
      <c r="G47" s="33">
        <f ca="1">G6/'Other Inputs'!$F$9</f>
        <v>0.33017281885642202</v>
      </c>
      <c r="H47" s="33">
        <f ca="1">H6/'Other Inputs'!$F$9</f>
        <v>0.35694452001111554</v>
      </c>
      <c r="I47" s="33">
        <f ca="1">I6/'Other Inputs'!$F$9</f>
        <v>0.36450114914334436</v>
      </c>
      <c r="J47" s="33">
        <f ca="1">J6/'Other Inputs'!$F$9</f>
        <v>0.37125476857007145</v>
      </c>
      <c r="K47" s="33">
        <f ca="1">K6/'Other Inputs'!$F$9</f>
        <v>0.38160369739957106</v>
      </c>
      <c r="L47" s="33">
        <f ca="1">L6/'Other Inputs'!$F$9</f>
        <v>0.38945939073838787</v>
      </c>
      <c r="M47" s="33">
        <f ca="1">M6/'Other Inputs'!$F$9</f>
        <v>0.39680185248789379</v>
      </c>
      <c r="N47" s="33">
        <f ca="1">N6/'Other Inputs'!$F$9</f>
        <v>0.40631447593852854</v>
      </c>
      <c r="O47" s="33">
        <f ca="1">O6/'Other Inputs'!$F$9</f>
        <v>0.41619153003828541</v>
      </c>
      <c r="P47" s="33">
        <f ca="1">P6/'Other Inputs'!$F$9</f>
        <v>0.42677779084588108</v>
      </c>
      <c r="Q47" s="33">
        <f ca="1">Q6/'Other Inputs'!$F$9</f>
        <v>0.43843018072362305</v>
      </c>
      <c r="R47" s="33">
        <f ca="1">R6/'Other Inputs'!$F$9</f>
        <v>0.4504928604973803</v>
      </c>
      <c r="S47" s="33">
        <f ca="1">S6/'Other Inputs'!$F$9</f>
        <v>0.4597650110356688</v>
      </c>
      <c r="T47" s="33">
        <f ca="1">T6/'Other Inputs'!$F$9</f>
        <v>0.46981432437126258</v>
      </c>
      <c r="U47" s="33">
        <f ca="1">U6/'Other Inputs'!$F$9</f>
        <v>0.48026428061788362</v>
      </c>
      <c r="V47" s="33">
        <f ca="1">V6/'Other Inputs'!$F$9</f>
        <v>0.4912038817051812</v>
      </c>
      <c r="W47" s="33">
        <f ca="1">W6/'Other Inputs'!$F$9</f>
        <v>0.50247529789451617</v>
      </c>
      <c r="X47" s="33">
        <f ca="1">X6/'Other Inputs'!$F$9</f>
        <v>0.51352550401582564</v>
      </c>
      <c r="Y47" s="33">
        <f ca="1">Y6/'Other Inputs'!$F$9</f>
        <v>0.52463101265414314</v>
      </c>
      <c r="Z47" s="33">
        <f ca="1">Z6/'Other Inputs'!$F$9</f>
        <v>0.53573652129245775</v>
      </c>
      <c r="AA47" s="33">
        <f ca="1">AA6/'Other Inputs'!$F$9</f>
        <v>0.54684202993077524</v>
      </c>
      <c r="AB47" s="33">
        <f ca="1">AB6/'Other Inputs'!$F$9</f>
        <v>0.55794753856908985</v>
      </c>
      <c r="AC47" s="33">
        <f ca="1">AC6/'Other Inputs'!$F$9</f>
        <v>0.56905304720740735</v>
      </c>
      <c r="AD47" s="33">
        <f ca="1">AD6/'Other Inputs'!$F$9</f>
        <v>0.58015855584572473</v>
      </c>
      <c r="AE47" s="33">
        <f ca="1">AE6/'Other Inputs'!$F$9</f>
        <v>0.59126406448403945</v>
      </c>
      <c r="AF47" s="33">
        <f ca="1">AF6/'Other Inputs'!$F$9</f>
        <v>0.60236957312235684</v>
      </c>
      <c r="AG47" s="33">
        <f ca="1">AG6/'Other Inputs'!$F$9</f>
        <v>0.61347508176067156</v>
      </c>
      <c r="AH47" s="33">
        <f ca="1">AH6/'Other Inputs'!$F$9</f>
        <v>0.62458059039898894</v>
      </c>
      <c r="AI47" s="33">
        <f ca="1">AI6/'Other Inputs'!$F$9</f>
        <v>0.63568609903730366</v>
      </c>
      <c r="AJ47" s="33">
        <f ca="1">AJ6/'Other Inputs'!$F$9</f>
        <v>0.64679160767562105</v>
      </c>
      <c r="AK47" s="33">
        <f ca="1">AK6/'Other Inputs'!$F$9</f>
        <v>0.65789711631393855</v>
      </c>
      <c r="AL47" s="33">
        <f ca="1">AL6/'Other Inputs'!$F$9</f>
        <v>0.66900262495225316</v>
      </c>
      <c r="AM47" s="33">
        <f ca="1">AM6/'Other Inputs'!$F$9</f>
        <v>0.68010813359057065</v>
      </c>
      <c r="AN47" s="33">
        <f ca="1">AN6/'Other Inputs'!$F$9</f>
        <v>0.69121364222888526</v>
      </c>
      <c r="AO47" s="11"/>
    </row>
    <row r="48" spans="5:41">
      <c r="F48" s="53">
        <v>36617</v>
      </c>
      <c r="G48" s="33">
        <f ca="1">G7/'Other Inputs'!$F$9</f>
        <v>0.32970216161771304</v>
      </c>
      <c r="H48" s="33">
        <f ca="1">H7/'Other Inputs'!$F$9</f>
        <v>0.35772950462638203</v>
      </c>
      <c r="I48" s="33">
        <f ca="1">I7/'Other Inputs'!$F$9</f>
        <v>0.3642059399556058</v>
      </c>
      <c r="J48" s="33">
        <f ca="1">J7/'Other Inputs'!$F$9</f>
        <v>0.37066339740362719</v>
      </c>
      <c r="K48" s="33">
        <f ca="1">K7/'Other Inputs'!$F$9</f>
        <v>0.38117880378104851</v>
      </c>
      <c r="L48" s="33">
        <f ca="1">L7/'Other Inputs'!$F$9</f>
        <v>0.38888172428719181</v>
      </c>
      <c r="M48" s="33">
        <f ca="1">M7/'Other Inputs'!$F$9</f>
        <v>0.39615066029919921</v>
      </c>
      <c r="N48" s="33">
        <f ca="1">N7/'Other Inputs'!$F$9</f>
        <v>0.40576330066428196</v>
      </c>
      <c r="O48" s="33">
        <f ca="1">O7/'Other Inputs'!$F$9</f>
        <v>0.41565075268611612</v>
      </c>
      <c r="P48" s="33">
        <f ca="1">P7/'Other Inputs'!$F$9</f>
        <v>0.42625321696256407</v>
      </c>
      <c r="Q48" s="33">
        <f ca="1">Q7/'Other Inputs'!$F$9</f>
        <v>0.43793475097783541</v>
      </c>
      <c r="R48" s="33">
        <f ca="1">R7/'Other Inputs'!$F$9</f>
        <v>0.44999769413332869</v>
      </c>
      <c r="S48" s="33">
        <f ca="1">S7/'Other Inputs'!$F$9</f>
        <v>0.45909294902334413</v>
      </c>
      <c r="T48" s="33">
        <f ca="1">T7/'Other Inputs'!$F$9</f>
        <v>0.46913968502396175</v>
      </c>
      <c r="U48" s="33">
        <f ca="1">U7/'Other Inputs'!$F$9</f>
        <v>0.47958569335572288</v>
      </c>
      <c r="V48" s="33">
        <f ca="1">V7/'Other Inputs'!$F$9</f>
        <v>0.49052953181151687</v>
      </c>
      <c r="W48" s="33">
        <f ca="1">W7/'Other Inputs'!$F$9</f>
        <v>0.50179451170085254</v>
      </c>
      <c r="X48" s="33">
        <f ca="1">X7/'Other Inputs'!$F$9</f>
        <v>0.51284539730116308</v>
      </c>
      <c r="Y48" s="33">
        <f ca="1">Y7/'Other Inputs'!$F$9</f>
        <v>0.52394980647372624</v>
      </c>
      <c r="Z48" s="33">
        <f ca="1">Z7/'Other Inputs'!$F$9</f>
        <v>0.53505421564629219</v>
      </c>
      <c r="AA48" s="33">
        <f ca="1">AA7/'Other Inputs'!$F$9</f>
        <v>0.54615862481885813</v>
      </c>
      <c r="AB48" s="33">
        <f ca="1">AB7/'Other Inputs'!$F$9</f>
        <v>0.5572630339914213</v>
      </c>
      <c r="AC48" s="33">
        <f ca="1">AC7/'Other Inputs'!$F$9</f>
        <v>0.56836744316398724</v>
      </c>
      <c r="AD48" s="33">
        <f ca="1">AD7/'Other Inputs'!$F$9</f>
        <v>0.5794718523365503</v>
      </c>
      <c r="AE48" s="33">
        <f ca="1">AE7/'Other Inputs'!$F$9</f>
        <v>0.59057626150911635</v>
      </c>
      <c r="AF48" s="33">
        <f ca="1">AF7/'Other Inputs'!$F$9</f>
        <v>0.60168067068168229</v>
      </c>
      <c r="AG48" s="33">
        <f ca="1">AG7/'Other Inputs'!$F$9</f>
        <v>0.61278507985424535</v>
      </c>
      <c r="AH48" s="33">
        <f ca="1">AH7/'Other Inputs'!$F$9</f>
        <v>0.62388948902681141</v>
      </c>
      <c r="AI48" s="33">
        <f ca="1">AI7/'Other Inputs'!$F$9</f>
        <v>0.63499389819937446</v>
      </c>
      <c r="AJ48" s="33">
        <f ca="1">AJ7/'Other Inputs'!$F$9</f>
        <v>0.64609830737194041</v>
      </c>
      <c r="AK48" s="33">
        <f ca="1">AK7/'Other Inputs'!$F$9</f>
        <v>0.65720271654450646</v>
      </c>
      <c r="AL48" s="33">
        <f ca="1">AL7/'Other Inputs'!$F$9</f>
        <v>0.66830712571706952</v>
      </c>
      <c r="AM48" s="33">
        <f ca="1">AM7/'Other Inputs'!$F$9</f>
        <v>0.67941153488963546</v>
      </c>
      <c r="AN48" s="33">
        <f ca="1">AN7/'Other Inputs'!$F$9</f>
        <v>0.69051594406219863</v>
      </c>
      <c r="AO48" s="11"/>
    </row>
    <row r="49" spans="5:41">
      <c r="F49" s="53">
        <v>36647</v>
      </c>
      <c r="G49" s="33">
        <f ca="1">G8/'Other Inputs'!$F$9</f>
        <v>0.34685552755303128</v>
      </c>
      <c r="H49" s="33">
        <f ca="1">H8/'Other Inputs'!$F$9</f>
        <v>0.37770152881544444</v>
      </c>
      <c r="I49" s="33">
        <f ca="1">I8/'Other Inputs'!$F$9</f>
        <v>0.38339037563647071</v>
      </c>
      <c r="J49" s="33">
        <f ca="1">J8/'Other Inputs'!$F$9</f>
        <v>0.38988249226289018</v>
      </c>
      <c r="K49" s="33">
        <f ca="1">K8/'Other Inputs'!$F$9</f>
        <v>0.40113555205872303</v>
      </c>
      <c r="L49" s="33">
        <f ca="1">L8/'Other Inputs'!$F$9</f>
        <v>0.40909036026197476</v>
      </c>
      <c r="M49" s="33">
        <f ca="1">M8/'Other Inputs'!$F$9</f>
        <v>0.41667116709110774</v>
      </c>
      <c r="N49" s="33">
        <f ca="1">N8/'Other Inputs'!$F$9</f>
        <v>0.42690335338100027</v>
      </c>
      <c r="O49" s="33">
        <f ca="1">O8/'Other Inputs'!$F$9</f>
        <v>0.43733095746319173</v>
      </c>
      <c r="P49" s="33">
        <f ca="1">P8/'Other Inputs'!$F$9</f>
        <v>0.44851794145438212</v>
      </c>
      <c r="Q49" s="33">
        <f ca="1">Q8/'Other Inputs'!$F$9</f>
        <v>0.46085534146093882</v>
      </c>
      <c r="R49" s="33">
        <f ca="1">R8/'Other Inputs'!$F$9</f>
        <v>0.47356423993801566</v>
      </c>
      <c r="S49" s="33">
        <f ca="1">S8/'Other Inputs'!$F$9</f>
        <v>0.48296057846410295</v>
      </c>
      <c r="T49" s="33">
        <f ca="1">T8/'Other Inputs'!$F$9</f>
        <v>0.49354236781082755</v>
      </c>
      <c r="U49" s="33">
        <f ca="1">U8/'Other Inputs'!$F$9</f>
        <v>0.50454336170075975</v>
      </c>
      <c r="V49" s="33">
        <f ca="1">V8/'Other Inputs'!$F$9</f>
        <v>0.5160774273351254</v>
      </c>
      <c r="W49" s="33">
        <f ca="1">W8/'Other Inputs'!$F$9</f>
        <v>0.52793861599586045</v>
      </c>
      <c r="X49" s="33">
        <f ca="1">X8/'Other Inputs'!$F$9</f>
        <v>0.53958172263901649</v>
      </c>
      <c r="Y49" s="33">
        <f ca="1">Y8/'Other Inputs'!$F$9</f>
        <v>0.55127934978656579</v>
      </c>
      <c r="Z49" s="33">
        <f ca="1">Z8/'Other Inputs'!$F$9</f>
        <v>0.56297697693411808</v>
      </c>
      <c r="AA49" s="33">
        <f ca="1">AA8/'Other Inputs'!$F$9</f>
        <v>0.57467460408166748</v>
      </c>
      <c r="AB49" s="33">
        <f ca="1">AB8/'Other Inputs'!$F$9</f>
        <v>0.58637223122921678</v>
      </c>
      <c r="AC49" s="33">
        <f ca="1">AC8/'Other Inputs'!$F$9</f>
        <v>0.59806985837676907</v>
      </c>
      <c r="AD49" s="33">
        <f ca="1">AD8/'Other Inputs'!$F$9</f>
        <v>0.60976748552431848</v>
      </c>
      <c r="AE49" s="33">
        <f ca="1">AE8/'Other Inputs'!$F$9</f>
        <v>0.62146511267186777</v>
      </c>
      <c r="AF49" s="33">
        <f ca="1">AF8/'Other Inputs'!$F$9</f>
        <v>0.63316273981942006</v>
      </c>
      <c r="AG49" s="33">
        <f ca="1">AG8/'Other Inputs'!$F$9</f>
        <v>0.64486036696696947</v>
      </c>
      <c r="AH49" s="33">
        <f ca="1">AH8/'Other Inputs'!$F$9</f>
        <v>0.65655799411451876</v>
      </c>
      <c r="AI49" s="33">
        <f ca="1">AI8/'Other Inputs'!$F$9</f>
        <v>0.66825562126207105</v>
      </c>
      <c r="AJ49" s="33">
        <f ca="1">AJ8/'Other Inputs'!$F$9</f>
        <v>0.67995324840962046</v>
      </c>
      <c r="AK49" s="33">
        <f ca="1">AK8/'Other Inputs'!$F$9</f>
        <v>0.69165087555716975</v>
      </c>
      <c r="AL49" s="33">
        <f ca="1">AL8/'Other Inputs'!$F$9</f>
        <v>0.70334850270472205</v>
      </c>
      <c r="AM49" s="33">
        <f ca="1">AM8/'Other Inputs'!$F$9</f>
        <v>0.71504612985227145</v>
      </c>
      <c r="AN49" s="33">
        <f ca="1">AN8/'Other Inputs'!$F$9</f>
        <v>0.72674375699982074</v>
      </c>
      <c r="AO49" s="11"/>
    </row>
    <row r="50" spans="5:41">
      <c r="F50" s="53">
        <v>36678</v>
      </c>
      <c r="G50" s="33">
        <f ca="1">G9/'Other Inputs'!$F$9</f>
        <v>0.34376921946949052</v>
      </c>
      <c r="H50" s="33">
        <f ca="1">H9/'Other Inputs'!$F$9</f>
        <v>0.36048777928199971</v>
      </c>
      <c r="I50" s="33">
        <f ca="1">I9/'Other Inputs'!$F$9</f>
        <v>0.36968871159464195</v>
      </c>
      <c r="J50" s="33">
        <f ca="1">J9/'Other Inputs'!$F$9</f>
        <v>0.37854534153047426</v>
      </c>
      <c r="K50" s="33">
        <f ca="1">K9/'Other Inputs'!$F$9</f>
        <v>0.38764962100530675</v>
      </c>
      <c r="L50" s="33">
        <f ca="1">L9/'Other Inputs'!$F$9</f>
        <v>0.39568634233818167</v>
      </c>
      <c r="M50" s="33">
        <f ca="1">M9/'Other Inputs'!$F$9</f>
        <v>0.40404404553191275</v>
      </c>
      <c r="N50" s="33">
        <f ca="1">N9/'Other Inputs'!$F$9</f>
        <v>0.41352273736953549</v>
      </c>
      <c r="O50" s="33">
        <f ca="1">O9/'Other Inputs'!$F$9</f>
        <v>0.42368636872077364</v>
      </c>
      <c r="P50" s="33">
        <f ca="1">P9/'Other Inputs'!$F$9</f>
        <v>0.43463937398831332</v>
      </c>
      <c r="Q50" s="33">
        <f ca="1">Q9/'Other Inputs'!$F$9</f>
        <v>0.4464588214513836</v>
      </c>
      <c r="R50" s="33">
        <f ca="1">R9/'Other Inputs'!$F$9</f>
        <v>0.45767096800748375</v>
      </c>
      <c r="S50" s="33">
        <f ca="1">S9/'Other Inputs'!$F$9</f>
        <v>0.4676747187033613</v>
      </c>
      <c r="T50" s="33">
        <f ca="1">T9/'Other Inputs'!$F$9</f>
        <v>0.47792771784764804</v>
      </c>
      <c r="U50" s="33">
        <f ca="1">U9/'Other Inputs'!$F$9</f>
        <v>0.4886450546830492</v>
      </c>
      <c r="V50" s="33">
        <f ca="1">V9/'Other Inputs'!$F$9</f>
        <v>0.49977075421612061</v>
      </c>
      <c r="W50" s="33">
        <f ca="1">W9/'Other Inputs'!$F$9</f>
        <v>0.51133412147356894</v>
      </c>
      <c r="X50" s="33">
        <f ca="1">X9/'Other Inputs'!$F$9</f>
        <v>0.52260571024809788</v>
      </c>
      <c r="Y50" s="33">
        <f ca="1">Y9/'Other Inputs'!$F$9</f>
        <v>0.53395024364335764</v>
      </c>
      <c r="Z50" s="33">
        <f ca="1">Z9/'Other Inputs'!$F$9</f>
        <v>0.54529477703862028</v>
      </c>
      <c r="AA50" s="33">
        <f ca="1">AA9/'Other Inputs'!$F$9</f>
        <v>0.55663931043388004</v>
      </c>
      <c r="AB50" s="33">
        <f ca="1">AB9/'Other Inputs'!$F$9</f>
        <v>0.5679838438291398</v>
      </c>
      <c r="AC50" s="33">
        <f ca="1">AC9/'Other Inputs'!$F$9</f>
        <v>0.57932837722439956</v>
      </c>
      <c r="AD50" s="33">
        <f ca="1">AD9/'Other Inputs'!$F$9</f>
        <v>0.59067291061965932</v>
      </c>
      <c r="AE50" s="33">
        <f ca="1">AE9/'Other Inputs'!$F$9</f>
        <v>0.60201744401491908</v>
      </c>
      <c r="AF50" s="33">
        <f ca="1">AF9/'Other Inputs'!$F$9</f>
        <v>0.61336197741017884</v>
      </c>
      <c r="AG50" s="33">
        <f ca="1">AG9/'Other Inputs'!$F$9</f>
        <v>0.6247065108054386</v>
      </c>
      <c r="AH50" s="33">
        <f ca="1">AH9/'Other Inputs'!$F$9</f>
        <v>0.63605104420069836</v>
      </c>
      <c r="AI50" s="33">
        <f ca="1">AI9/'Other Inputs'!$F$9</f>
        <v>0.64739557759595812</v>
      </c>
      <c r="AJ50" s="33">
        <f ca="1">AJ9/'Other Inputs'!$F$9</f>
        <v>0.65874011099121788</v>
      </c>
      <c r="AK50" s="33">
        <f ca="1">AK9/'Other Inputs'!$F$9</f>
        <v>0.67008464438647763</v>
      </c>
      <c r="AL50" s="33">
        <f ca="1">AL9/'Other Inputs'!$F$9</f>
        <v>0.68142917778173739</v>
      </c>
      <c r="AM50" s="33">
        <f ca="1">AM9/'Other Inputs'!$F$9</f>
        <v>0.69277371117699715</v>
      </c>
      <c r="AN50" s="33">
        <f ca="1">AN9/'Other Inputs'!$F$9</f>
        <v>0.70411824457225691</v>
      </c>
      <c r="AO50" s="11"/>
    </row>
    <row r="51" spans="5:41">
      <c r="F51" s="53">
        <v>36708</v>
      </c>
      <c r="G51" s="33">
        <f ca="1">G10/'Other Inputs'!$F$9</f>
        <v>0.3485313922461124</v>
      </c>
      <c r="H51" s="33">
        <f ca="1">H10/'Other Inputs'!$F$9</f>
        <v>0.36431514025716855</v>
      </c>
      <c r="I51" s="33">
        <f ca="1">I10/'Other Inputs'!$F$9</f>
        <v>0.37331270104074571</v>
      </c>
      <c r="J51" s="33">
        <f ca="1">J10/'Other Inputs'!$F$9</f>
        <v>0.38244433654071658</v>
      </c>
      <c r="K51" s="33">
        <f ca="1">K10/'Other Inputs'!$F$9</f>
        <v>0.39149358835127368</v>
      </c>
      <c r="L51" s="33">
        <f ca="1">L10/'Other Inputs'!$F$9</f>
        <v>0.39954548125031336</v>
      </c>
      <c r="M51" s="33">
        <f ca="1">M10/'Other Inputs'!$F$9</f>
        <v>0.40810358455635087</v>
      </c>
      <c r="N51" s="33">
        <f ca="1">N10/'Other Inputs'!$F$9</f>
        <v>0.41770208136360443</v>
      </c>
      <c r="O51" s="33">
        <f ca="1">O10/'Other Inputs'!$F$9</f>
        <v>0.42799936299548758</v>
      </c>
      <c r="P51" s="33">
        <f ca="1">P10/'Other Inputs'!$F$9</f>
        <v>0.43910882394209594</v>
      </c>
      <c r="Q51" s="33">
        <f ca="1">Q10/'Other Inputs'!$F$9</f>
        <v>0.45106417187796843</v>
      </c>
      <c r="R51" s="33">
        <f ca="1">R10/'Other Inputs'!$F$9</f>
        <v>0.46221942782739989</v>
      </c>
      <c r="S51" s="33">
        <f ca="1">S10/'Other Inputs'!$F$9</f>
        <v>0.47233505011992066</v>
      </c>
      <c r="T51" s="33">
        <f ca="1">T10/'Other Inputs'!$F$9</f>
        <v>0.48270162132249761</v>
      </c>
      <c r="U51" s="33">
        <f ca="1">U10/'Other Inputs'!$F$9</f>
        <v>0.49354630001297251</v>
      </c>
      <c r="V51" s="33">
        <f ca="1">V10/'Other Inputs'!$F$9</f>
        <v>0.50479290991352932</v>
      </c>
      <c r="W51" s="33">
        <f ca="1">W10/'Other Inputs'!$F$9</f>
        <v>0.51649314204074193</v>
      </c>
      <c r="X51" s="33">
        <f ca="1">X10/'Other Inputs'!$F$9</f>
        <v>0.52789095935018504</v>
      </c>
      <c r="Y51" s="33">
        <f ca="1">Y10/'Other Inputs'!$F$9</f>
        <v>0.53936438036406853</v>
      </c>
      <c r="Z51" s="33">
        <f ca="1">Z10/'Other Inputs'!$F$9</f>
        <v>0.55083780137795491</v>
      </c>
      <c r="AA51" s="33">
        <f ca="1">AA10/'Other Inputs'!$F$9</f>
        <v>0.56231122239183828</v>
      </c>
      <c r="AB51" s="33">
        <f ca="1">AB10/'Other Inputs'!$F$9</f>
        <v>0.57378464340572466</v>
      </c>
      <c r="AC51" s="33">
        <f ca="1">AC10/'Other Inputs'!$F$9</f>
        <v>0.58525806441960815</v>
      </c>
      <c r="AD51" s="33">
        <f ca="1">AD10/'Other Inputs'!$F$9</f>
        <v>0.59673148543349153</v>
      </c>
      <c r="AE51" s="33">
        <f ca="1">AE10/'Other Inputs'!$F$9</f>
        <v>0.6082049064473779</v>
      </c>
      <c r="AF51" s="33">
        <f ca="1">AF10/'Other Inputs'!$F$9</f>
        <v>0.61967832746126139</v>
      </c>
      <c r="AG51" s="33">
        <f ca="1">AG10/'Other Inputs'!$F$9</f>
        <v>0.63115174847514766</v>
      </c>
      <c r="AH51" s="33">
        <f ca="1">AH10/'Other Inputs'!$F$9</f>
        <v>0.64262516948903114</v>
      </c>
      <c r="AI51" s="33">
        <f ca="1">AI10/'Other Inputs'!$F$9</f>
        <v>0.65409859050291741</v>
      </c>
      <c r="AJ51" s="33">
        <f ca="1">AJ10/'Other Inputs'!$F$9</f>
        <v>0.6655720115168009</v>
      </c>
      <c r="AK51" s="33">
        <f ca="1">AK10/'Other Inputs'!$F$9</f>
        <v>0.67704543253068439</v>
      </c>
      <c r="AL51" s="33">
        <f ca="1">AL10/'Other Inputs'!$F$9</f>
        <v>0.68851885354457065</v>
      </c>
      <c r="AM51" s="33">
        <f ca="1">AM10/'Other Inputs'!$F$9</f>
        <v>0.69999227455845414</v>
      </c>
      <c r="AN51" s="33">
        <f ca="1">AN10/'Other Inputs'!$F$9</f>
        <v>0.71146569557234041</v>
      </c>
      <c r="AO51" s="11"/>
    </row>
    <row r="52" spans="5:41">
      <c r="F52" s="53">
        <v>36739</v>
      </c>
      <c r="G52" s="33">
        <f ca="1">G11/'Other Inputs'!$F$9</f>
        <v>0.35254310341467965</v>
      </c>
      <c r="H52" s="33">
        <f ca="1">H11/'Other Inputs'!$F$9</f>
        <v>0.36733823428631002</v>
      </c>
      <c r="I52" s="33">
        <f ca="1">I11/'Other Inputs'!$F$9</f>
        <v>0.3761074284406789</v>
      </c>
      <c r="J52" s="33">
        <f ca="1">J11/'Other Inputs'!$F$9</f>
        <v>0.38549699531803072</v>
      </c>
      <c r="K52" s="33">
        <f ca="1">K11/'Other Inputs'!$F$9</f>
        <v>0.39446865646502471</v>
      </c>
      <c r="L52" s="33">
        <f ca="1">L11/'Other Inputs'!$F$9</f>
        <v>0.40251674956569239</v>
      </c>
      <c r="M52" s="33">
        <f ca="1">M11/'Other Inputs'!$F$9</f>
        <v>0.41125826348143207</v>
      </c>
      <c r="N52" s="33">
        <f ca="1">N11/'Other Inputs'!$F$9</f>
        <v>0.42095570223475853</v>
      </c>
      <c r="O52" s="33">
        <f ca="1">O11/'Other Inputs'!$F$9</f>
        <v>0.43136434052598521</v>
      </c>
      <c r="P52" s="33">
        <f ca="1">P11/'Other Inputs'!$F$9</f>
        <v>0.44260641643728971</v>
      </c>
      <c r="Q52" s="33">
        <f ca="1">Q11/'Other Inputs'!$F$9</f>
        <v>0.454671449536664</v>
      </c>
      <c r="R52" s="33">
        <f ca="1">R11/'Other Inputs'!$F$9</f>
        <v>0.46574218939064443</v>
      </c>
      <c r="S52" s="33">
        <f ca="1">S11/'Other Inputs'!$F$9</f>
        <v>0.47594744838077602</v>
      </c>
      <c r="T52" s="33">
        <f ca="1">T11/'Other Inputs'!$F$9</f>
        <v>0.48640478662113085</v>
      </c>
      <c r="U52" s="33">
        <f ca="1">U11/'Other Inputs'!$F$9</f>
        <v>0.49735309735682104</v>
      </c>
      <c r="V52" s="33">
        <f ca="1">V11/'Other Inputs'!$F$9</f>
        <v>0.50869583696576104</v>
      </c>
      <c r="W52" s="33">
        <f ca="1">W11/'Other Inputs'!$F$9</f>
        <v>0.52050734463638026</v>
      </c>
      <c r="X52" s="33">
        <f ca="1">X11/'Other Inputs'!$F$9</f>
        <v>0.53200634026588323</v>
      </c>
      <c r="Y52" s="33">
        <f ca="1">Y11/'Other Inputs'!$F$9</f>
        <v>0.54358346390566226</v>
      </c>
      <c r="Z52" s="33">
        <f ca="1">Z11/'Other Inputs'!$F$9</f>
        <v>0.55516058754544129</v>
      </c>
      <c r="AA52" s="33">
        <f ca="1">AA11/'Other Inputs'!$F$9</f>
        <v>0.56673771118522043</v>
      </c>
      <c r="AB52" s="33">
        <f ca="1">AB11/'Other Inputs'!$F$9</f>
        <v>0.57831483482499946</v>
      </c>
      <c r="AC52" s="33">
        <f ca="1">AC11/'Other Inputs'!$F$9</f>
        <v>0.58989195846478137</v>
      </c>
      <c r="AD52" s="33">
        <f ca="1">AD11/'Other Inputs'!$F$9</f>
        <v>0.60146908210456052</v>
      </c>
      <c r="AE52" s="33">
        <f ca="1">AE11/'Other Inputs'!$F$9</f>
        <v>0.61304620574433955</v>
      </c>
      <c r="AF52" s="33">
        <f ca="1">AF11/'Other Inputs'!$F$9</f>
        <v>0.62462332938411858</v>
      </c>
      <c r="AG52" s="33">
        <f ca="1">AG11/'Other Inputs'!$F$9</f>
        <v>0.63620045302389772</v>
      </c>
      <c r="AH52" s="33">
        <f ca="1">AH11/'Other Inputs'!$F$9</f>
        <v>0.64777757666367963</v>
      </c>
      <c r="AI52" s="33">
        <f ca="1">AI11/'Other Inputs'!$F$9</f>
        <v>0.65935470030345866</v>
      </c>
      <c r="AJ52" s="33">
        <f ca="1">AJ11/'Other Inputs'!$F$9</f>
        <v>0.6709318239432378</v>
      </c>
      <c r="AK52" s="33">
        <f ca="1">AK11/'Other Inputs'!$F$9</f>
        <v>0.68250894758301683</v>
      </c>
      <c r="AL52" s="33">
        <f ca="1">AL11/'Other Inputs'!$F$9</f>
        <v>0.69408607122279586</v>
      </c>
      <c r="AM52" s="33">
        <f ca="1">AM11/'Other Inputs'!$F$9</f>
        <v>0.70566319486257778</v>
      </c>
      <c r="AN52" s="33">
        <f ca="1">AN11/'Other Inputs'!$F$9</f>
        <v>0.71724031850235692</v>
      </c>
      <c r="AO52" s="11"/>
    </row>
    <row r="53" spans="5:41" s="11" customFormat="1">
      <c r="F53" s="53">
        <v>36770</v>
      </c>
      <c r="G53" s="33">
        <f ca="1">G12/'Other Inputs'!$F$9</f>
        <v>0.32243685987521942</v>
      </c>
      <c r="H53" s="33">
        <f ca="1">H12/'Other Inputs'!$F$9</f>
        <v>0.33490679558169634</v>
      </c>
      <c r="I53" s="33">
        <f ca="1">I12/'Other Inputs'!$F$9</f>
        <v>0.3426259841794092</v>
      </c>
      <c r="J53" s="33">
        <f ca="1">J12/'Other Inputs'!$F$9</f>
        <v>0.35135235351974747</v>
      </c>
      <c r="K53" s="33">
        <f ca="1">K12/'Other Inputs'!$F$9</f>
        <v>0.35939296832441586</v>
      </c>
      <c r="L53" s="33">
        <f ca="1">L12/'Other Inputs'!$F$9</f>
        <v>0.36666624593716629</v>
      </c>
      <c r="M53" s="33">
        <f ca="1">M12/'Other Inputs'!$F$9</f>
        <v>0.37473828565921552</v>
      </c>
      <c r="N53" s="33">
        <f ca="1">N12/'Other Inputs'!$F$9</f>
        <v>0.38359711952277042</v>
      </c>
      <c r="O53" s="33">
        <f ca="1">O12/'Other Inputs'!$F$9</f>
        <v>0.39311038432264572</v>
      </c>
      <c r="P53" s="33">
        <f ca="1">P12/'Other Inputs'!$F$9</f>
        <v>0.40339671841533864</v>
      </c>
      <c r="Q53" s="33">
        <f ca="1">Q12/'Other Inputs'!$F$9</f>
        <v>0.41440609540447976</v>
      </c>
      <c r="R53" s="33">
        <f ca="1">R12/'Other Inputs'!$F$9</f>
        <v>0.42433825809707582</v>
      </c>
      <c r="S53" s="33">
        <f ca="1">S12/'Other Inputs'!$F$9</f>
        <v>0.43364770354050924</v>
      </c>
      <c r="T53" s="33">
        <f ca="1">T12/'Other Inputs'!$F$9</f>
        <v>0.443186106269222</v>
      </c>
      <c r="U53" s="33">
        <f ca="1">U12/'Other Inputs'!$F$9</f>
        <v>0.45318023265572627</v>
      </c>
      <c r="V53" s="33">
        <f ca="1">V12/'Other Inputs'!$F$9</f>
        <v>0.46352410116687082</v>
      </c>
      <c r="W53" s="33">
        <f ca="1">W12/'Other Inputs'!$F$9</f>
        <v>0.47430571003598665</v>
      </c>
      <c r="X53" s="33">
        <f ca="1">X12/'Other Inputs'!$F$9</f>
        <v>0.4847954919997875</v>
      </c>
      <c r="Y53" s="33">
        <f ca="1">Y12/'Other Inputs'!$F$9</f>
        <v>0.49535823068991647</v>
      </c>
      <c r="Z53" s="33">
        <f ca="1">Z12/'Other Inputs'!$F$9</f>
        <v>0.50592096938004827</v>
      </c>
      <c r="AA53" s="33">
        <f ca="1">AA12/'Other Inputs'!$F$9</f>
        <v>0.51648370807017729</v>
      </c>
      <c r="AB53" s="33">
        <f ca="1">AB12/'Other Inputs'!$F$9</f>
        <v>0.5270464467603091</v>
      </c>
      <c r="AC53" s="33">
        <f ca="1">AC12/'Other Inputs'!$F$9</f>
        <v>0.53760918545043812</v>
      </c>
      <c r="AD53" s="33">
        <f ca="1">AD12/'Other Inputs'!$F$9</f>
        <v>0.54817192414056704</v>
      </c>
      <c r="AE53" s="33">
        <f ca="1">AE12/'Other Inputs'!$F$9</f>
        <v>0.55873466283069884</v>
      </c>
      <c r="AF53" s="33">
        <f ca="1">AF12/'Other Inputs'!$F$9</f>
        <v>0.56929740152082786</v>
      </c>
      <c r="AG53" s="33">
        <f ca="1">AG12/'Other Inputs'!$F$9</f>
        <v>0.57986014021095966</v>
      </c>
      <c r="AH53" s="33">
        <f ca="1">AH12/'Other Inputs'!$F$9</f>
        <v>0.59042287890108869</v>
      </c>
      <c r="AI53" s="33">
        <f ca="1">AI12/'Other Inputs'!$F$9</f>
        <v>0.60098561759122049</v>
      </c>
      <c r="AJ53" s="33">
        <f ca="1">AJ12/'Other Inputs'!$F$9</f>
        <v>0.61154835628134951</v>
      </c>
      <c r="AK53" s="33">
        <f ca="1">AK12/'Other Inputs'!$F$9</f>
        <v>0.62211109497147843</v>
      </c>
      <c r="AL53" s="33">
        <f ca="1">AL12/'Other Inputs'!$F$9</f>
        <v>0.63267383366161023</v>
      </c>
      <c r="AM53" s="33">
        <f ca="1">AM12/'Other Inputs'!$F$9</f>
        <v>0.64323657235173926</v>
      </c>
      <c r="AN53" s="33">
        <f ca="1">AN12/'Other Inputs'!$F$9</f>
        <v>0.65379931104187106</v>
      </c>
    </row>
    <row r="54" spans="5:41">
      <c r="F54" s="53">
        <v>36800</v>
      </c>
      <c r="G54" s="33">
        <f ca="1">G13/'Other Inputs'!$F$9</f>
        <v>0.32678087790782456</v>
      </c>
      <c r="H54" s="33">
        <f ca="1">H13/'Other Inputs'!$F$9</f>
        <v>0.33835141388750845</v>
      </c>
      <c r="I54" s="33">
        <f ca="1">I13/'Other Inputs'!$F$9</f>
        <v>0.34587185103631779</v>
      </c>
      <c r="J54" s="33">
        <f ca="1">J13/'Other Inputs'!$F$9</f>
        <v>0.3548551729876277</v>
      </c>
      <c r="K54" s="33">
        <f ca="1">K13/'Other Inputs'!$F$9</f>
        <v>0.36283834373537721</v>
      </c>
      <c r="L54" s="33">
        <f ca="1">L13/'Other Inputs'!$F$9</f>
        <v>0.37012161311040509</v>
      </c>
      <c r="M54" s="33">
        <f ca="1">M13/'Other Inputs'!$F$9</f>
        <v>0.37837984228552218</v>
      </c>
      <c r="N54" s="33">
        <f ca="1">N13/'Other Inputs'!$F$9</f>
        <v>0.3873475011238906</v>
      </c>
      <c r="O54" s="33">
        <f ca="1">O13/'Other Inputs'!$F$9</f>
        <v>0.39698239482153247</v>
      </c>
      <c r="P54" s="33">
        <f ca="1">P13/'Other Inputs'!$F$9</f>
        <v>0.40741163569083028</v>
      </c>
      <c r="Q54" s="33">
        <f ca="1">Q13/'Other Inputs'!$F$9</f>
        <v>0.41854386641841207</v>
      </c>
      <c r="R54" s="33">
        <f ca="1">R13/'Other Inputs'!$F$9</f>
        <v>0.42841564277826683</v>
      </c>
      <c r="S54" s="33">
        <f ca="1">S13/'Other Inputs'!$F$9</f>
        <v>0.43782606796100049</v>
      </c>
      <c r="T54" s="33">
        <f ca="1">T13/'Other Inputs'!$F$9</f>
        <v>0.44746693146143157</v>
      </c>
      <c r="U54" s="33">
        <f ca="1">U13/'Other Inputs'!$F$9</f>
        <v>0.45757637291520148</v>
      </c>
      <c r="V54" s="33">
        <f ca="1">V13/'Other Inputs'!$F$9</f>
        <v>0.46802920604502873</v>
      </c>
      <c r="W54" s="33">
        <f ca="1">W13/'Other Inputs'!$F$9</f>
        <v>0.47893472889951072</v>
      </c>
      <c r="X54" s="33">
        <f ca="1">X13/'Other Inputs'!$F$9</f>
        <v>0.48953845860422407</v>
      </c>
      <c r="Y54" s="33">
        <f ca="1">Y13/'Other Inputs'!$F$9</f>
        <v>0.50021763659637775</v>
      </c>
      <c r="Z54" s="33">
        <f ca="1">Z13/'Other Inputs'!$F$9</f>
        <v>0.5108968145885342</v>
      </c>
      <c r="AA54" s="33">
        <f ca="1">AA13/'Other Inputs'!$F$9</f>
        <v>0.52157599258068787</v>
      </c>
      <c r="AB54" s="33">
        <f ca="1">AB13/'Other Inputs'!$F$9</f>
        <v>0.53225517057284155</v>
      </c>
      <c r="AC54" s="33">
        <f ca="1">AC13/'Other Inputs'!$F$9</f>
        <v>0.542934348564998</v>
      </c>
      <c r="AD54" s="33">
        <f ca="1">AD13/'Other Inputs'!$F$9</f>
        <v>0.55361352655715168</v>
      </c>
      <c r="AE54" s="33">
        <f ca="1">AE13/'Other Inputs'!$F$9</f>
        <v>0.56429270454930536</v>
      </c>
      <c r="AF54" s="33">
        <f ca="1">AF13/'Other Inputs'!$F$9</f>
        <v>0.57497188254146181</v>
      </c>
      <c r="AG54" s="33">
        <f ca="1">AG13/'Other Inputs'!$F$9</f>
        <v>0.58565106053361549</v>
      </c>
      <c r="AH54" s="33">
        <f ca="1">AH13/'Other Inputs'!$F$9</f>
        <v>0.59633023852576916</v>
      </c>
      <c r="AI54" s="33">
        <f ca="1">AI13/'Other Inputs'!$F$9</f>
        <v>0.60700941651792562</v>
      </c>
      <c r="AJ54" s="33">
        <f ca="1">AJ13/'Other Inputs'!$F$9</f>
        <v>0.61768859451007929</v>
      </c>
      <c r="AK54" s="33">
        <f ca="1">AK13/'Other Inputs'!$F$9</f>
        <v>0.62836777250223297</v>
      </c>
      <c r="AL54" s="33">
        <f ca="1">AL13/'Other Inputs'!$F$9</f>
        <v>0.63904695049438942</v>
      </c>
      <c r="AM54" s="33">
        <f ca="1">AM13/'Other Inputs'!$F$9</f>
        <v>0.6497261284865431</v>
      </c>
      <c r="AN54" s="33">
        <f ca="1">AN13/'Other Inputs'!$F$9</f>
        <v>0.66040530647869677</v>
      </c>
      <c r="AO54" s="11"/>
    </row>
    <row r="55" spans="5:41">
      <c r="F55" s="53">
        <v>36831</v>
      </c>
      <c r="G55" s="33">
        <f ca="1">G14/'Other Inputs'!$F$9</f>
        <v>0.32191497899376398</v>
      </c>
      <c r="H55" s="33">
        <f ca="1">H14/'Other Inputs'!$F$9</f>
        <v>0.33227012208255963</v>
      </c>
      <c r="I55" s="33">
        <f ca="1">I14/'Other Inputs'!$F$9</f>
        <v>0.33938272050189744</v>
      </c>
      <c r="J55" s="33">
        <f ca="1">J14/'Other Inputs'!$F$9</f>
        <v>0.34836849121104679</v>
      </c>
      <c r="K55" s="33">
        <f ca="1">K14/'Other Inputs'!$F$9</f>
        <v>0.35607079188841995</v>
      </c>
      <c r="L55" s="33">
        <f ca="1">L14/'Other Inputs'!$F$9</f>
        <v>0.36315961636318833</v>
      </c>
      <c r="M55" s="33">
        <f ca="1">M14/'Other Inputs'!$F$9</f>
        <v>0.37137055362353216</v>
      </c>
      <c r="N55" s="33">
        <f ca="1">N14/'Other Inputs'!$F$9</f>
        <v>0.38019439468039523</v>
      </c>
      <c r="O55" s="33">
        <f ca="1">O14/'Other Inputs'!$F$9</f>
        <v>0.38967943156837098</v>
      </c>
      <c r="P55" s="33">
        <f ca="1">P14/'Other Inputs'!$F$9</f>
        <v>0.39995760294044841</v>
      </c>
      <c r="Q55" s="33">
        <f ca="1">Q14/'Other Inputs'!$F$9</f>
        <v>0.41089918037608236</v>
      </c>
      <c r="R55" s="33">
        <f ca="1">R14/'Other Inputs'!$F$9</f>
        <v>0.42043418555605488</v>
      </c>
      <c r="S55" s="33">
        <f ca="1">S14/'Other Inputs'!$F$9</f>
        <v>0.42968060068081326</v>
      </c>
      <c r="T55" s="33">
        <f ca="1">T14/'Other Inputs'!$F$9</f>
        <v>0.43915245572101813</v>
      </c>
      <c r="U55" s="33">
        <f ca="1">U14/'Other Inputs'!$F$9</f>
        <v>0.44909247313083139</v>
      </c>
      <c r="V55" s="33">
        <f ca="1">V14/'Other Inputs'!$F$9</f>
        <v>0.45935995845526811</v>
      </c>
      <c r="W55" s="33">
        <f ca="1">W14/'Other Inputs'!$F$9</f>
        <v>0.47008223864751042</v>
      </c>
      <c r="X55" s="33">
        <f ca="1">X14/'Other Inputs'!$F$9</f>
        <v>0.48050132226121606</v>
      </c>
      <c r="Y55" s="33">
        <f ca="1">Y14/'Other Inputs'!$F$9</f>
        <v>0.49099620501955599</v>
      </c>
      <c r="Z55" s="33">
        <f ca="1">Z14/'Other Inputs'!$F$9</f>
        <v>0.50149108777789597</v>
      </c>
      <c r="AA55" s="33">
        <f ca="1">AA14/'Other Inputs'!$F$9</f>
        <v>0.51198597053623307</v>
      </c>
      <c r="AB55" s="33">
        <f ca="1">AB14/'Other Inputs'!$F$9</f>
        <v>0.52248085329457294</v>
      </c>
      <c r="AC55" s="33">
        <f ca="1">AC14/'Other Inputs'!$F$9</f>
        <v>0.53297573605291293</v>
      </c>
      <c r="AD55" s="33">
        <f ca="1">AD14/'Other Inputs'!$F$9</f>
        <v>0.5434706188112528</v>
      </c>
      <c r="AE55" s="33">
        <f ca="1">AE14/'Other Inputs'!$F$9</f>
        <v>0.55396550156959279</v>
      </c>
      <c r="AF55" s="33">
        <f ca="1">AF14/'Other Inputs'!$F$9</f>
        <v>0.56446038432793277</v>
      </c>
      <c r="AG55" s="33">
        <f ca="1">AG14/'Other Inputs'!$F$9</f>
        <v>0.57495526708626987</v>
      </c>
      <c r="AH55" s="33">
        <f ca="1">AH14/'Other Inputs'!$F$9</f>
        <v>0.58545014984460975</v>
      </c>
      <c r="AI55" s="33">
        <f ca="1">AI14/'Other Inputs'!$F$9</f>
        <v>0.59594503260294973</v>
      </c>
      <c r="AJ55" s="33">
        <f ca="1">AJ14/'Other Inputs'!$F$9</f>
        <v>0.60643991536128961</v>
      </c>
      <c r="AK55" s="33">
        <f ca="1">AK14/'Other Inputs'!$F$9</f>
        <v>0.61693479811962959</v>
      </c>
      <c r="AL55" s="33">
        <f ca="1">AL14/'Other Inputs'!$F$9</f>
        <v>0.62742968087796958</v>
      </c>
      <c r="AM55" s="33">
        <f ca="1">AM14/'Other Inputs'!$F$9</f>
        <v>0.63792456363630945</v>
      </c>
      <c r="AN55" s="33">
        <f ca="1">AN14/'Other Inputs'!$F$9</f>
        <v>0.64841944639464655</v>
      </c>
      <c r="AO55" s="11"/>
    </row>
    <row r="56" spans="5:41">
      <c r="F56" s="53">
        <v>36861</v>
      </c>
      <c r="G56" s="33">
        <f ca="1">G15/'Other Inputs'!$F$9</f>
        <v>0.35716504421973772</v>
      </c>
      <c r="H56" s="33">
        <f ca="1">H15/'Other Inputs'!$F$9</f>
        <v>0.36750597594675655</v>
      </c>
      <c r="I56" s="33">
        <f ca="1">I15/'Other Inputs'!$F$9</f>
        <v>0.37507177207559822</v>
      </c>
      <c r="J56" s="33">
        <f ca="1">J15/'Other Inputs'!$F$9</f>
        <v>0.38519142178461352</v>
      </c>
      <c r="K56" s="33">
        <f ca="1">K15/'Other Inputs'!$F$9</f>
        <v>0.39355882771698325</v>
      </c>
      <c r="L56" s="33">
        <f ca="1">L15/'Other Inputs'!$F$9</f>
        <v>0.40132923566395212</v>
      </c>
      <c r="M56" s="33">
        <f ca="1">M15/'Other Inputs'!$F$9</f>
        <v>0.41052257487361271</v>
      </c>
      <c r="N56" s="33">
        <f ca="1">N15/'Other Inputs'!$F$9</f>
        <v>0.42030131561791773</v>
      </c>
      <c r="O56" s="33">
        <f ca="1">O15/'Other Inputs'!$F$9</f>
        <v>0.43081794252016942</v>
      </c>
      <c r="P56" s="33">
        <f ca="1">P15/'Other Inputs'!$F$9</f>
        <v>0.44222623717150789</v>
      </c>
      <c r="Q56" s="33">
        <f ca="1">Q15/'Other Inputs'!$F$9</f>
        <v>0.45433853453848438</v>
      </c>
      <c r="R56" s="33">
        <f ca="1">R15/'Other Inputs'!$F$9</f>
        <v>0.46470875274148093</v>
      </c>
      <c r="S56" s="33">
        <f ca="1">S15/'Other Inputs'!$F$9</f>
        <v>0.47494137156381366</v>
      </c>
      <c r="T56" s="33">
        <f ca="1">T15/'Other Inputs'!$F$9</f>
        <v>0.48542239139466148</v>
      </c>
      <c r="U56" s="33">
        <f ca="1">U15/'Other Inputs'!$F$9</f>
        <v>0.49643006021685682</v>
      </c>
      <c r="V56" s="33">
        <f ca="1">V15/'Other Inputs'!$F$9</f>
        <v>0.50778915626111054</v>
      </c>
      <c r="W56" s="33">
        <f ca="1">W15/'Other Inputs'!$F$9</f>
        <v>0.51966258412633792</v>
      </c>
      <c r="X56" s="33">
        <f ca="1">X15/'Other Inputs'!$F$9</f>
        <v>0.53119312411091646</v>
      </c>
      <c r="Y56" s="33">
        <f ca="1">Y15/'Other Inputs'!$F$9</f>
        <v>0.54280938606565599</v>
      </c>
      <c r="Z56" s="33">
        <f ca="1">Z15/'Other Inputs'!$F$9</f>
        <v>0.5544256480203984</v>
      </c>
      <c r="AA56" s="33">
        <f ca="1">AA15/'Other Inputs'!$F$9</f>
        <v>0.56604190997513792</v>
      </c>
      <c r="AB56" s="33">
        <f ca="1">AB15/'Other Inputs'!$F$9</f>
        <v>0.57765817192987756</v>
      </c>
      <c r="AC56" s="33">
        <f ca="1">AC15/'Other Inputs'!$F$9</f>
        <v>0.58927443388461997</v>
      </c>
      <c r="AD56" s="33">
        <f ca="1">AD15/'Other Inputs'!$F$9</f>
        <v>0.6008906958393595</v>
      </c>
      <c r="AE56" s="33">
        <f ca="1">AE15/'Other Inputs'!$F$9</f>
        <v>0.61250695779409914</v>
      </c>
      <c r="AF56" s="33">
        <f ca="1">AF15/'Other Inputs'!$F$9</f>
        <v>0.62412321974884155</v>
      </c>
      <c r="AG56" s="33">
        <f ca="1">AG15/'Other Inputs'!$F$9</f>
        <v>0.63573948170358108</v>
      </c>
      <c r="AH56" s="33">
        <f ca="1">AH15/'Other Inputs'!$F$9</f>
        <v>0.6473557436583206</v>
      </c>
      <c r="AI56" s="33">
        <f ca="1">AI15/'Other Inputs'!$F$9</f>
        <v>0.65897200561306302</v>
      </c>
      <c r="AJ56" s="33">
        <f ca="1">AJ15/'Other Inputs'!$F$9</f>
        <v>0.67058826756780265</v>
      </c>
      <c r="AK56" s="33">
        <f ca="1">AK15/'Other Inputs'!$F$9</f>
        <v>0.68220452952254218</v>
      </c>
      <c r="AL56" s="33">
        <f ca="1">AL15/'Other Inputs'!$F$9</f>
        <v>0.69382079147728459</v>
      </c>
      <c r="AM56" s="33">
        <f ca="1">AM15/'Other Inputs'!$F$9</f>
        <v>0.70543705343202423</v>
      </c>
      <c r="AN56" s="33">
        <f ca="1">AN15/'Other Inputs'!$F$9</f>
        <v>0.71705331538676376</v>
      </c>
      <c r="AO56" s="11"/>
    </row>
    <row r="57" spans="5:41">
      <c r="AO57" s="11"/>
    </row>
    <row r="58" spans="5:41">
      <c r="E58" s="12"/>
      <c r="F58" s="12" t="s">
        <v>82</v>
      </c>
      <c r="G58" s="12"/>
      <c r="H58" s="13">
        <f>H60-H3</f>
        <v>0</v>
      </c>
      <c r="I58" s="12"/>
      <c r="J58" s="12"/>
      <c r="AO58" s="11"/>
    </row>
    <row r="59" spans="5:41">
      <c r="E59" s="12"/>
      <c r="F59" s="12" t="s">
        <v>81</v>
      </c>
      <c r="G59" s="12"/>
      <c r="H59" s="12"/>
      <c r="I59" s="12"/>
      <c r="J59" s="12"/>
      <c r="AO59" s="11"/>
    </row>
    <row r="60" spans="5:41" ht="14.4">
      <c r="E60" s="12"/>
      <c r="F60" s="12"/>
      <c r="G60" s="102">
        <f>H60-1</f>
        <v>2019</v>
      </c>
      <c r="H60" s="54">
        <f>'User Dashboard'!D30</f>
        <v>2020</v>
      </c>
      <c r="I60" s="54">
        <f>H60+1</f>
        <v>2021</v>
      </c>
      <c r="J60" s="54">
        <f t="shared" ref="J60:AF60" si="1">I60+1</f>
        <v>2022</v>
      </c>
      <c r="K60" s="54">
        <f t="shared" si="1"/>
        <v>2023</v>
      </c>
      <c r="L60" s="54">
        <f t="shared" si="1"/>
        <v>2024</v>
      </c>
      <c r="M60" s="54">
        <f t="shared" si="1"/>
        <v>2025</v>
      </c>
      <c r="N60" s="54">
        <f t="shared" si="1"/>
        <v>2026</v>
      </c>
      <c r="O60" s="54">
        <f t="shared" si="1"/>
        <v>2027</v>
      </c>
      <c r="P60" s="54">
        <f t="shared" si="1"/>
        <v>2028</v>
      </c>
      <c r="Q60" s="54">
        <f t="shared" si="1"/>
        <v>2029</v>
      </c>
      <c r="R60" s="54">
        <f t="shared" si="1"/>
        <v>2030</v>
      </c>
      <c r="S60" s="54">
        <f t="shared" si="1"/>
        <v>2031</v>
      </c>
      <c r="T60" s="54">
        <f t="shared" si="1"/>
        <v>2032</v>
      </c>
      <c r="U60" s="54">
        <f t="shared" si="1"/>
        <v>2033</v>
      </c>
      <c r="V60" s="54">
        <f t="shared" si="1"/>
        <v>2034</v>
      </c>
      <c r="W60" s="54">
        <f t="shared" si="1"/>
        <v>2035</v>
      </c>
      <c r="X60" s="54">
        <f t="shared" si="1"/>
        <v>2036</v>
      </c>
      <c r="Y60" s="54">
        <f t="shared" si="1"/>
        <v>2037</v>
      </c>
      <c r="Z60" s="54">
        <f t="shared" si="1"/>
        <v>2038</v>
      </c>
      <c r="AA60" s="54">
        <f t="shared" si="1"/>
        <v>2039</v>
      </c>
      <c r="AB60" s="54">
        <f t="shared" si="1"/>
        <v>2040</v>
      </c>
      <c r="AC60" s="54">
        <f t="shared" si="1"/>
        <v>2041</v>
      </c>
      <c r="AD60" s="54">
        <f t="shared" si="1"/>
        <v>2042</v>
      </c>
      <c r="AE60" s="54">
        <f t="shared" si="1"/>
        <v>2043</v>
      </c>
      <c r="AF60" s="54">
        <f t="shared" si="1"/>
        <v>2044</v>
      </c>
      <c r="AG60" s="54">
        <f t="shared" ref="AG60" si="2">AF60+1</f>
        <v>2045</v>
      </c>
      <c r="AH60" s="54">
        <f t="shared" ref="AH60" si="3">AG60+1</f>
        <v>2046</v>
      </c>
      <c r="AI60" s="54">
        <f t="shared" ref="AI60" si="4">AH60+1</f>
        <v>2047</v>
      </c>
      <c r="AJ60" s="54">
        <f t="shared" ref="AJ60" si="5">AI60+1</f>
        <v>2048</v>
      </c>
      <c r="AK60" s="54">
        <f t="shared" ref="AK60" si="6">AJ60+1</f>
        <v>2049</v>
      </c>
      <c r="AL60" s="54">
        <v>2050</v>
      </c>
      <c r="AM60" s="54">
        <v>2051</v>
      </c>
      <c r="AN60" s="54">
        <v>2052</v>
      </c>
      <c r="AO60" s="11"/>
    </row>
    <row r="61" spans="5:41">
      <c r="E61" s="12"/>
      <c r="F61" s="13" t="s">
        <v>5</v>
      </c>
      <c r="G61" s="12">
        <f ca="1">OFFSET(G45,0,$H$58)</f>
        <v>0.36219880960430173</v>
      </c>
      <c r="H61" s="12">
        <f ca="1">OFFSET(H45,0,$H$58)</f>
        <v>0.38872266376219688</v>
      </c>
      <c r="I61" s="12">
        <f t="shared" ref="I61:AJ61" ca="1" si="7">OFFSET(I45,0,$H$58)</f>
        <v>0.39936356590144134</v>
      </c>
      <c r="J61" s="12">
        <f ca="1">OFFSET(J45,0,$H$58)</f>
        <v>0.40740226382291062</v>
      </c>
      <c r="K61" s="12">
        <f t="shared" ca="1" si="7"/>
        <v>0.41835655136335531</v>
      </c>
      <c r="L61" s="12">
        <f t="shared" ca="1" si="7"/>
        <v>0.42728550339513155</v>
      </c>
      <c r="M61" s="12">
        <f t="shared" ca="1" si="7"/>
        <v>0.43547881252667053</v>
      </c>
      <c r="N61" s="12">
        <f t="shared" ca="1" si="7"/>
        <v>0.44566442063266987</v>
      </c>
      <c r="O61" s="12">
        <f t="shared" ca="1" si="7"/>
        <v>0.45644570802191647</v>
      </c>
      <c r="P61" s="12">
        <f t="shared" ca="1" si="7"/>
        <v>0.46799000630177084</v>
      </c>
      <c r="Q61" s="12">
        <f t="shared" ca="1" si="7"/>
        <v>0.48067205209102887</v>
      </c>
      <c r="R61" s="12">
        <f t="shared" ca="1" si="7"/>
        <v>0.49386639804852994</v>
      </c>
      <c r="S61" s="12">
        <f t="shared" ca="1" si="7"/>
        <v>0.50439779882697389</v>
      </c>
      <c r="T61" s="12">
        <f t="shared" ca="1" si="7"/>
        <v>0.51539604251435711</v>
      </c>
      <c r="U61" s="12">
        <f t="shared" ca="1" si="7"/>
        <v>0.5268355482985867</v>
      </c>
      <c r="V61" s="12">
        <f t="shared" ca="1" si="7"/>
        <v>0.53879266202513965</v>
      </c>
      <c r="W61" s="12">
        <f t="shared" ca="1" si="7"/>
        <v>0.5511362039711315</v>
      </c>
      <c r="X61" s="12">
        <f t="shared" ca="1" si="7"/>
        <v>0.56322212710416297</v>
      </c>
      <c r="Y61" s="12">
        <f t="shared" ca="1" si="7"/>
        <v>0.57537245494043532</v>
      </c>
      <c r="Z61" s="12">
        <f t="shared" ca="1" si="7"/>
        <v>0.58752278277670766</v>
      </c>
      <c r="AA61" s="12">
        <f t="shared" ca="1" si="7"/>
        <v>0.59967311061298001</v>
      </c>
      <c r="AB61" s="12">
        <f t="shared" ca="1" si="7"/>
        <v>0.61182343844925247</v>
      </c>
      <c r="AC61" s="12">
        <f t="shared" ca="1" si="7"/>
        <v>0.62397376628552481</v>
      </c>
      <c r="AD61" s="12">
        <f t="shared" ca="1" si="7"/>
        <v>0.63612409412179716</v>
      </c>
      <c r="AE61" s="12">
        <f t="shared" ca="1" si="7"/>
        <v>0.6482744219580695</v>
      </c>
      <c r="AF61" s="12">
        <f t="shared" ca="1" si="7"/>
        <v>0.66042474979434185</v>
      </c>
      <c r="AG61" s="12">
        <f t="shared" ca="1" si="7"/>
        <v>0.6725750776306143</v>
      </c>
      <c r="AH61" s="12">
        <f t="shared" ca="1" si="7"/>
        <v>0.68472540546688665</v>
      </c>
      <c r="AI61" s="12">
        <f t="shared" ca="1" si="7"/>
        <v>0.696875733303159</v>
      </c>
      <c r="AJ61" s="12">
        <f t="shared" ca="1" si="7"/>
        <v>0.70902606113943134</v>
      </c>
      <c r="AK61" s="12">
        <f ca="1">OFFSET(AK45,0,$H$58)</f>
        <v>0.72117638897570369</v>
      </c>
      <c r="AL61" s="12">
        <f t="shared" ref="AL61:AM61" ca="1" si="8">OFFSET(AL45,0,$H$58)</f>
        <v>0.73332671681197614</v>
      </c>
      <c r="AM61" s="12">
        <f t="shared" ca="1" si="8"/>
        <v>0.74547704464824849</v>
      </c>
      <c r="AN61" s="12">
        <f ca="1">OFFSET(AN45,0,$H$58)</f>
        <v>0.75762737248452083</v>
      </c>
      <c r="AO61" s="11"/>
    </row>
    <row r="62" spans="5:41">
      <c r="E62" s="12"/>
      <c r="F62" s="13" t="s">
        <v>6</v>
      </c>
      <c r="G62" s="12">
        <f t="shared" ref="G62" ca="1" si="9">OFFSET(G46,0,$H$58)</f>
        <v>0.36966948778449032</v>
      </c>
      <c r="H62" s="12">
        <f t="shared" ref="H62:AN62" ca="1" si="10">OFFSET(H46,0,$H$58)</f>
        <v>0.39819241472681799</v>
      </c>
      <c r="I62" s="12">
        <f t="shared" ca="1" si="10"/>
        <v>0.40785261807953566</v>
      </c>
      <c r="J62" s="12">
        <f t="shared" ca="1" si="10"/>
        <v>0.4157355528694201</v>
      </c>
      <c r="K62" s="12">
        <f t="shared" ca="1" si="10"/>
        <v>0.42711917076037664</v>
      </c>
      <c r="L62" s="12">
        <f t="shared" ca="1" si="10"/>
        <v>0.43607340594912036</v>
      </c>
      <c r="M62" s="12">
        <f t="shared" ca="1" si="10"/>
        <v>0.44436494028704876</v>
      </c>
      <c r="N62" s="12">
        <f t="shared" ca="1" si="10"/>
        <v>0.45488809955068821</v>
      </c>
      <c r="O62" s="12">
        <f t="shared" ca="1" si="10"/>
        <v>0.46591923108466304</v>
      </c>
      <c r="P62" s="12">
        <f t="shared" ca="1" si="10"/>
        <v>0.47773676124641823</v>
      </c>
      <c r="Q62" s="12">
        <f t="shared" ca="1" si="10"/>
        <v>0.49073173444548457</v>
      </c>
      <c r="R62" s="12">
        <f t="shared" ca="1" si="10"/>
        <v>0.50421781891839346</v>
      </c>
      <c r="S62" s="12">
        <f t="shared" ca="1" si="10"/>
        <v>0.51478274858396422</v>
      </c>
      <c r="T62" s="12">
        <f t="shared" ca="1" si="10"/>
        <v>0.52602102520863991</v>
      </c>
      <c r="U62" s="12">
        <f t="shared" ca="1" si="10"/>
        <v>0.53770876814310453</v>
      </c>
      <c r="V62" s="12">
        <f t="shared" ca="1" si="10"/>
        <v>0.54993476454904977</v>
      </c>
      <c r="W62" s="12">
        <f t="shared" ca="1" si="10"/>
        <v>0.56254371172972095</v>
      </c>
      <c r="X62" s="12">
        <f t="shared" ca="1" si="10"/>
        <v>0.57489735839390899</v>
      </c>
      <c r="Y62" s="12">
        <f t="shared" ca="1" si="10"/>
        <v>0.58731483018721631</v>
      </c>
      <c r="Z62" s="12">
        <f t="shared" ca="1" si="10"/>
        <v>0.59973230198052652</v>
      </c>
      <c r="AA62" s="12">
        <f t="shared" ca="1" si="10"/>
        <v>0.61214977377383373</v>
      </c>
      <c r="AB62" s="12">
        <f t="shared" ca="1" si="10"/>
        <v>0.62456724556714105</v>
      </c>
      <c r="AC62" s="12">
        <f t="shared" ca="1" si="10"/>
        <v>0.63698471736045126</v>
      </c>
      <c r="AD62" s="12">
        <f t="shared" ca="1" si="10"/>
        <v>0.64940218915375847</v>
      </c>
      <c r="AE62" s="12">
        <f t="shared" ca="1" si="10"/>
        <v>0.66181966094706579</v>
      </c>
      <c r="AF62" s="12">
        <f t="shared" ca="1" si="10"/>
        <v>0.674237132740376</v>
      </c>
      <c r="AG62" s="12">
        <f t="shared" ca="1" si="10"/>
        <v>0.68665460453368321</v>
      </c>
      <c r="AH62" s="12">
        <f t="shared" ca="1" si="10"/>
        <v>0.69907207632699053</v>
      </c>
      <c r="AI62" s="12">
        <f t="shared" ca="1" si="10"/>
        <v>0.71148954812030074</v>
      </c>
      <c r="AJ62" s="12">
        <f t="shared" ca="1" si="10"/>
        <v>0.72390701991360795</v>
      </c>
      <c r="AK62" s="12">
        <f t="shared" ca="1" si="10"/>
        <v>0.73632449170691527</v>
      </c>
      <c r="AL62" s="12">
        <f t="shared" ref="AL62:AM62" ca="1" si="11">OFFSET(AL46,0,$H$58)</f>
        <v>0.74874196350022548</v>
      </c>
      <c r="AM62" s="12">
        <f t="shared" ca="1" si="11"/>
        <v>0.76115943529353269</v>
      </c>
      <c r="AN62" s="12">
        <f t="shared" ca="1" si="10"/>
        <v>0.77357690708684002</v>
      </c>
      <c r="AO62" s="11"/>
    </row>
    <row r="63" spans="5:41">
      <c r="E63" s="12"/>
      <c r="F63" s="13" t="s">
        <v>7</v>
      </c>
      <c r="G63" s="12">
        <f ca="1">OFFSET(G47,0,$H$58)</f>
        <v>0.33017281885642202</v>
      </c>
      <c r="H63" s="12">
        <f ca="1">OFFSET(H47,0,$H$58)</f>
        <v>0.35694452001111554</v>
      </c>
      <c r="I63" s="12">
        <f ca="1">OFFSET(I47,0,$H$58)</f>
        <v>0.36450114914334436</v>
      </c>
      <c r="J63" s="12">
        <f t="shared" ref="J63:AN63" ca="1" si="12">OFFSET(J47,0,$H$58)</f>
        <v>0.37125476857007145</v>
      </c>
      <c r="K63" s="12">
        <f t="shared" ca="1" si="12"/>
        <v>0.38160369739957106</v>
      </c>
      <c r="L63" s="12">
        <f t="shared" ca="1" si="12"/>
        <v>0.38945939073838787</v>
      </c>
      <c r="M63" s="12">
        <f t="shared" ca="1" si="12"/>
        <v>0.39680185248789379</v>
      </c>
      <c r="N63" s="12">
        <f t="shared" ca="1" si="12"/>
        <v>0.40631447593852854</v>
      </c>
      <c r="O63" s="12">
        <f t="shared" ca="1" si="12"/>
        <v>0.41619153003828541</v>
      </c>
      <c r="P63" s="12">
        <f t="shared" ca="1" si="12"/>
        <v>0.42677779084588108</v>
      </c>
      <c r="Q63" s="12">
        <f t="shared" ca="1" si="12"/>
        <v>0.43843018072362305</v>
      </c>
      <c r="R63" s="12">
        <f t="shared" ca="1" si="12"/>
        <v>0.4504928604973803</v>
      </c>
      <c r="S63" s="12">
        <f t="shared" ca="1" si="12"/>
        <v>0.4597650110356688</v>
      </c>
      <c r="T63" s="12">
        <f t="shared" ca="1" si="12"/>
        <v>0.46981432437126258</v>
      </c>
      <c r="U63" s="12">
        <f t="shared" ca="1" si="12"/>
        <v>0.48026428061788362</v>
      </c>
      <c r="V63" s="12">
        <f t="shared" ca="1" si="12"/>
        <v>0.4912038817051812</v>
      </c>
      <c r="W63" s="12">
        <f t="shared" ca="1" si="12"/>
        <v>0.50247529789451617</v>
      </c>
      <c r="X63" s="12">
        <f t="shared" ca="1" si="12"/>
        <v>0.51352550401582564</v>
      </c>
      <c r="Y63" s="12">
        <f t="shared" ca="1" si="12"/>
        <v>0.52463101265414314</v>
      </c>
      <c r="Z63" s="12">
        <f t="shared" ca="1" si="12"/>
        <v>0.53573652129245775</v>
      </c>
      <c r="AA63" s="12">
        <f t="shared" ca="1" si="12"/>
        <v>0.54684202993077524</v>
      </c>
      <c r="AB63" s="12">
        <f t="shared" ca="1" si="12"/>
        <v>0.55794753856908985</v>
      </c>
      <c r="AC63" s="12">
        <f t="shared" ca="1" si="12"/>
        <v>0.56905304720740735</v>
      </c>
      <c r="AD63" s="12">
        <f t="shared" ca="1" si="12"/>
        <v>0.58015855584572473</v>
      </c>
      <c r="AE63" s="12">
        <f t="shared" ca="1" si="12"/>
        <v>0.59126406448403945</v>
      </c>
      <c r="AF63" s="12">
        <f t="shared" ca="1" si="12"/>
        <v>0.60236957312235684</v>
      </c>
      <c r="AG63" s="12">
        <f t="shared" ca="1" si="12"/>
        <v>0.61347508176067156</v>
      </c>
      <c r="AH63" s="12">
        <f t="shared" ca="1" si="12"/>
        <v>0.62458059039898894</v>
      </c>
      <c r="AI63" s="12">
        <f t="shared" ca="1" si="12"/>
        <v>0.63568609903730366</v>
      </c>
      <c r="AJ63" s="12">
        <f t="shared" ca="1" si="12"/>
        <v>0.64679160767562105</v>
      </c>
      <c r="AK63" s="12">
        <f t="shared" ca="1" si="12"/>
        <v>0.65789711631393855</v>
      </c>
      <c r="AL63" s="12">
        <f t="shared" ref="AL63:AM63" ca="1" si="13">OFFSET(AL47,0,$H$58)</f>
        <v>0.66900262495225316</v>
      </c>
      <c r="AM63" s="12">
        <f t="shared" ca="1" si="13"/>
        <v>0.68010813359057065</v>
      </c>
      <c r="AN63" s="12">
        <f t="shared" ca="1" si="12"/>
        <v>0.69121364222888526</v>
      </c>
      <c r="AO63" s="11"/>
    </row>
    <row r="64" spans="5:41">
      <c r="E64" s="12"/>
      <c r="F64" s="13" t="s">
        <v>8</v>
      </c>
      <c r="G64" s="12">
        <f t="shared" ref="G64" ca="1" si="14">OFFSET(G48,0,$H$58)</f>
        <v>0.32970216161771304</v>
      </c>
      <c r="H64" s="12">
        <f t="shared" ref="H64:AN64" ca="1" si="15">OFFSET(H48,0,$H$58)</f>
        <v>0.35772950462638203</v>
      </c>
      <c r="I64" s="12">
        <f t="shared" ca="1" si="15"/>
        <v>0.3642059399556058</v>
      </c>
      <c r="J64" s="12">
        <f t="shared" ca="1" si="15"/>
        <v>0.37066339740362719</v>
      </c>
      <c r="K64" s="12">
        <f t="shared" ca="1" si="15"/>
        <v>0.38117880378104851</v>
      </c>
      <c r="L64" s="12">
        <f t="shared" ca="1" si="15"/>
        <v>0.38888172428719181</v>
      </c>
      <c r="M64" s="12">
        <f t="shared" ca="1" si="15"/>
        <v>0.39615066029919921</v>
      </c>
      <c r="N64" s="12">
        <f t="shared" ca="1" si="15"/>
        <v>0.40576330066428196</v>
      </c>
      <c r="O64" s="12">
        <f t="shared" ca="1" si="15"/>
        <v>0.41565075268611612</v>
      </c>
      <c r="P64" s="12">
        <f t="shared" ca="1" si="15"/>
        <v>0.42625321696256407</v>
      </c>
      <c r="Q64" s="12">
        <f t="shared" ca="1" si="15"/>
        <v>0.43793475097783541</v>
      </c>
      <c r="R64" s="12">
        <f t="shared" ca="1" si="15"/>
        <v>0.44999769413332869</v>
      </c>
      <c r="S64" s="12">
        <f t="shared" ca="1" si="15"/>
        <v>0.45909294902334413</v>
      </c>
      <c r="T64" s="12">
        <f t="shared" ca="1" si="15"/>
        <v>0.46913968502396175</v>
      </c>
      <c r="U64" s="12">
        <f t="shared" ca="1" si="15"/>
        <v>0.47958569335572288</v>
      </c>
      <c r="V64" s="12">
        <f t="shared" ca="1" si="15"/>
        <v>0.49052953181151687</v>
      </c>
      <c r="W64" s="12">
        <f t="shared" ca="1" si="15"/>
        <v>0.50179451170085254</v>
      </c>
      <c r="X64" s="12">
        <f t="shared" ca="1" si="15"/>
        <v>0.51284539730116308</v>
      </c>
      <c r="Y64" s="12">
        <f t="shared" ca="1" si="15"/>
        <v>0.52394980647372624</v>
      </c>
      <c r="Z64" s="12">
        <f t="shared" ca="1" si="15"/>
        <v>0.53505421564629219</v>
      </c>
      <c r="AA64" s="12">
        <f t="shared" ca="1" si="15"/>
        <v>0.54615862481885813</v>
      </c>
      <c r="AB64" s="12">
        <f t="shared" ca="1" si="15"/>
        <v>0.5572630339914213</v>
      </c>
      <c r="AC64" s="12">
        <f t="shared" ca="1" si="15"/>
        <v>0.56836744316398724</v>
      </c>
      <c r="AD64" s="12">
        <f t="shared" ca="1" si="15"/>
        <v>0.5794718523365503</v>
      </c>
      <c r="AE64" s="12">
        <f t="shared" ca="1" si="15"/>
        <v>0.59057626150911635</v>
      </c>
      <c r="AF64" s="12">
        <f t="shared" ca="1" si="15"/>
        <v>0.60168067068168229</v>
      </c>
      <c r="AG64" s="12">
        <f t="shared" ca="1" si="15"/>
        <v>0.61278507985424535</v>
      </c>
      <c r="AH64" s="12">
        <f t="shared" ca="1" si="15"/>
        <v>0.62388948902681141</v>
      </c>
      <c r="AI64" s="12">
        <f t="shared" ca="1" si="15"/>
        <v>0.63499389819937446</v>
      </c>
      <c r="AJ64" s="12">
        <f t="shared" ca="1" si="15"/>
        <v>0.64609830737194041</v>
      </c>
      <c r="AK64" s="12">
        <f t="shared" ca="1" si="15"/>
        <v>0.65720271654450646</v>
      </c>
      <c r="AL64" s="12">
        <f t="shared" ref="AL64:AM64" ca="1" si="16">OFFSET(AL48,0,$H$58)</f>
        <v>0.66830712571706952</v>
      </c>
      <c r="AM64" s="12">
        <f t="shared" ca="1" si="16"/>
        <v>0.67941153488963546</v>
      </c>
      <c r="AN64" s="12">
        <f t="shared" ca="1" si="15"/>
        <v>0.69051594406219863</v>
      </c>
      <c r="AO64" s="11"/>
    </row>
    <row r="65" spans="3:41">
      <c r="E65" s="12"/>
      <c r="F65" s="13" t="s">
        <v>9</v>
      </c>
      <c r="G65" s="12">
        <f t="shared" ref="G65" ca="1" si="17">OFFSET(G49,0,$H$58)</f>
        <v>0.34685552755303128</v>
      </c>
      <c r="H65" s="12">
        <f t="shared" ref="H65:AN65" ca="1" si="18">OFFSET(H49,0,$H$58)</f>
        <v>0.37770152881544444</v>
      </c>
      <c r="I65" s="12">
        <f t="shared" ca="1" si="18"/>
        <v>0.38339037563647071</v>
      </c>
      <c r="J65" s="12">
        <f t="shared" ca="1" si="18"/>
        <v>0.38988249226289018</v>
      </c>
      <c r="K65" s="12">
        <f t="shared" ca="1" si="18"/>
        <v>0.40113555205872303</v>
      </c>
      <c r="L65" s="12">
        <f t="shared" ca="1" si="18"/>
        <v>0.40909036026197476</v>
      </c>
      <c r="M65" s="12">
        <f t="shared" ca="1" si="18"/>
        <v>0.41667116709110774</v>
      </c>
      <c r="N65" s="12">
        <f t="shared" ca="1" si="18"/>
        <v>0.42690335338100027</v>
      </c>
      <c r="O65" s="12">
        <f t="shared" ca="1" si="18"/>
        <v>0.43733095746319173</v>
      </c>
      <c r="P65" s="12">
        <f t="shared" ca="1" si="18"/>
        <v>0.44851794145438212</v>
      </c>
      <c r="Q65" s="12">
        <f t="shared" ca="1" si="18"/>
        <v>0.46085534146093882</v>
      </c>
      <c r="R65" s="12">
        <f t="shared" ca="1" si="18"/>
        <v>0.47356423993801566</v>
      </c>
      <c r="S65" s="12">
        <f t="shared" ca="1" si="18"/>
        <v>0.48296057846410295</v>
      </c>
      <c r="T65" s="12">
        <f t="shared" ca="1" si="18"/>
        <v>0.49354236781082755</v>
      </c>
      <c r="U65" s="12">
        <f t="shared" ca="1" si="18"/>
        <v>0.50454336170075975</v>
      </c>
      <c r="V65" s="12">
        <f t="shared" ca="1" si="18"/>
        <v>0.5160774273351254</v>
      </c>
      <c r="W65" s="12">
        <f t="shared" ca="1" si="18"/>
        <v>0.52793861599586045</v>
      </c>
      <c r="X65" s="12">
        <f t="shared" ca="1" si="18"/>
        <v>0.53958172263901649</v>
      </c>
      <c r="Y65" s="12">
        <f t="shared" ca="1" si="18"/>
        <v>0.55127934978656579</v>
      </c>
      <c r="Z65" s="12">
        <f t="shared" ca="1" si="18"/>
        <v>0.56297697693411808</v>
      </c>
      <c r="AA65" s="12">
        <f t="shared" ca="1" si="18"/>
        <v>0.57467460408166748</v>
      </c>
      <c r="AB65" s="12">
        <f t="shared" ca="1" si="18"/>
        <v>0.58637223122921678</v>
      </c>
      <c r="AC65" s="12">
        <f t="shared" ca="1" si="18"/>
        <v>0.59806985837676907</v>
      </c>
      <c r="AD65" s="12">
        <f t="shared" ca="1" si="18"/>
        <v>0.60976748552431848</v>
      </c>
      <c r="AE65" s="12">
        <f t="shared" ca="1" si="18"/>
        <v>0.62146511267186777</v>
      </c>
      <c r="AF65" s="12">
        <f t="shared" ca="1" si="18"/>
        <v>0.63316273981942006</v>
      </c>
      <c r="AG65" s="12">
        <f t="shared" ca="1" si="18"/>
        <v>0.64486036696696947</v>
      </c>
      <c r="AH65" s="12">
        <f t="shared" ca="1" si="18"/>
        <v>0.65655799411451876</v>
      </c>
      <c r="AI65" s="12">
        <f t="shared" ca="1" si="18"/>
        <v>0.66825562126207105</v>
      </c>
      <c r="AJ65" s="12">
        <f t="shared" ca="1" si="18"/>
        <v>0.67995324840962046</v>
      </c>
      <c r="AK65" s="12">
        <f t="shared" ca="1" si="18"/>
        <v>0.69165087555716975</v>
      </c>
      <c r="AL65" s="12">
        <f t="shared" ref="AL65:AM65" ca="1" si="19">OFFSET(AL49,0,$H$58)</f>
        <v>0.70334850270472205</v>
      </c>
      <c r="AM65" s="12">
        <f t="shared" ca="1" si="19"/>
        <v>0.71504612985227145</v>
      </c>
      <c r="AN65" s="12">
        <f t="shared" ca="1" si="18"/>
        <v>0.72674375699982074</v>
      </c>
      <c r="AO65" s="11"/>
    </row>
    <row r="66" spans="3:41">
      <c r="E66" s="12"/>
      <c r="F66" s="13" t="s">
        <v>10</v>
      </c>
      <c r="G66" s="12">
        <f t="shared" ref="G66" ca="1" si="20">OFFSET(G50,0,$H$58)</f>
        <v>0.34376921946949052</v>
      </c>
      <c r="H66" s="12">
        <f t="shared" ref="H66:AN66" ca="1" si="21">OFFSET(H50,0,$H$58)</f>
        <v>0.36048777928199971</v>
      </c>
      <c r="I66" s="12">
        <f t="shared" ca="1" si="21"/>
        <v>0.36968871159464195</v>
      </c>
      <c r="J66" s="12">
        <f t="shared" ca="1" si="21"/>
        <v>0.37854534153047426</v>
      </c>
      <c r="K66" s="12">
        <f t="shared" ca="1" si="21"/>
        <v>0.38764962100530675</v>
      </c>
      <c r="L66" s="12">
        <f t="shared" ca="1" si="21"/>
        <v>0.39568634233818167</v>
      </c>
      <c r="M66" s="12">
        <f t="shared" ca="1" si="21"/>
        <v>0.40404404553191275</v>
      </c>
      <c r="N66" s="12">
        <f t="shared" ca="1" si="21"/>
        <v>0.41352273736953549</v>
      </c>
      <c r="O66" s="12">
        <f t="shared" ca="1" si="21"/>
        <v>0.42368636872077364</v>
      </c>
      <c r="P66" s="12">
        <f t="shared" ca="1" si="21"/>
        <v>0.43463937398831332</v>
      </c>
      <c r="Q66" s="12">
        <f t="shared" ca="1" si="21"/>
        <v>0.4464588214513836</v>
      </c>
      <c r="R66" s="12">
        <f t="shared" ca="1" si="21"/>
        <v>0.45767096800748375</v>
      </c>
      <c r="S66" s="12">
        <f t="shared" ca="1" si="21"/>
        <v>0.4676747187033613</v>
      </c>
      <c r="T66" s="12">
        <f t="shared" ca="1" si="21"/>
        <v>0.47792771784764804</v>
      </c>
      <c r="U66" s="12">
        <f t="shared" ca="1" si="21"/>
        <v>0.4886450546830492</v>
      </c>
      <c r="V66" s="12">
        <f t="shared" ca="1" si="21"/>
        <v>0.49977075421612061</v>
      </c>
      <c r="W66" s="12">
        <f t="shared" ca="1" si="21"/>
        <v>0.51133412147356894</v>
      </c>
      <c r="X66" s="12">
        <f t="shared" ca="1" si="21"/>
        <v>0.52260571024809788</v>
      </c>
      <c r="Y66" s="12">
        <f t="shared" ca="1" si="21"/>
        <v>0.53395024364335764</v>
      </c>
      <c r="Z66" s="12">
        <f t="shared" ca="1" si="21"/>
        <v>0.54529477703862028</v>
      </c>
      <c r="AA66" s="12">
        <f t="shared" ca="1" si="21"/>
        <v>0.55663931043388004</v>
      </c>
      <c r="AB66" s="12">
        <f t="shared" ca="1" si="21"/>
        <v>0.5679838438291398</v>
      </c>
      <c r="AC66" s="12">
        <f t="shared" ca="1" si="21"/>
        <v>0.57932837722439956</v>
      </c>
      <c r="AD66" s="12">
        <f t="shared" ca="1" si="21"/>
        <v>0.59067291061965932</v>
      </c>
      <c r="AE66" s="12">
        <f t="shared" ca="1" si="21"/>
        <v>0.60201744401491908</v>
      </c>
      <c r="AF66" s="12">
        <f t="shared" ca="1" si="21"/>
        <v>0.61336197741017884</v>
      </c>
      <c r="AG66" s="12">
        <f t="shared" ca="1" si="21"/>
        <v>0.6247065108054386</v>
      </c>
      <c r="AH66" s="12">
        <f t="shared" ca="1" si="21"/>
        <v>0.63605104420069836</v>
      </c>
      <c r="AI66" s="12">
        <f t="shared" ca="1" si="21"/>
        <v>0.64739557759595812</v>
      </c>
      <c r="AJ66" s="12">
        <f t="shared" ca="1" si="21"/>
        <v>0.65874011099121788</v>
      </c>
      <c r="AK66" s="12">
        <f t="shared" ca="1" si="21"/>
        <v>0.67008464438647763</v>
      </c>
      <c r="AL66" s="12">
        <f t="shared" ref="AL66:AM66" ca="1" si="22">OFFSET(AL50,0,$H$58)</f>
        <v>0.68142917778173739</v>
      </c>
      <c r="AM66" s="12">
        <f t="shared" ca="1" si="22"/>
        <v>0.69277371117699715</v>
      </c>
      <c r="AN66" s="12">
        <f t="shared" ca="1" si="21"/>
        <v>0.70411824457225691</v>
      </c>
      <c r="AO66" s="11"/>
    </row>
    <row r="67" spans="3:41">
      <c r="E67" s="12"/>
      <c r="F67" s="13" t="s">
        <v>11</v>
      </c>
      <c r="G67" s="12">
        <f t="shared" ref="G67" ca="1" si="23">OFFSET(G51,0,$H$58)</f>
        <v>0.3485313922461124</v>
      </c>
      <c r="H67" s="12">
        <f t="shared" ref="H67:AN67" ca="1" si="24">OFFSET(H51,0,$H$58)</f>
        <v>0.36431514025716855</v>
      </c>
      <c r="I67" s="12">
        <f t="shared" ca="1" si="24"/>
        <v>0.37331270104074571</v>
      </c>
      <c r="J67" s="12">
        <f t="shared" ca="1" si="24"/>
        <v>0.38244433654071658</v>
      </c>
      <c r="K67" s="12">
        <f t="shared" ca="1" si="24"/>
        <v>0.39149358835127368</v>
      </c>
      <c r="L67" s="12">
        <f t="shared" ca="1" si="24"/>
        <v>0.39954548125031336</v>
      </c>
      <c r="M67" s="12">
        <f t="shared" ca="1" si="24"/>
        <v>0.40810358455635087</v>
      </c>
      <c r="N67" s="12">
        <f t="shared" ca="1" si="24"/>
        <v>0.41770208136360443</v>
      </c>
      <c r="O67" s="12">
        <f t="shared" ca="1" si="24"/>
        <v>0.42799936299548758</v>
      </c>
      <c r="P67" s="12">
        <f t="shared" ca="1" si="24"/>
        <v>0.43910882394209594</v>
      </c>
      <c r="Q67" s="12">
        <f t="shared" ca="1" si="24"/>
        <v>0.45106417187796843</v>
      </c>
      <c r="R67" s="12">
        <f t="shared" ca="1" si="24"/>
        <v>0.46221942782739989</v>
      </c>
      <c r="S67" s="12">
        <f t="shared" ca="1" si="24"/>
        <v>0.47233505011992066</v>
      </c>
      <c r="T67" s="12">
        <f t="shared" ca="1" si="24"/>
        <v>0.48270162132249761</v>
      </c>
      <c r="U67" s="12">
        <f t="shared" ca="1" si="24"/>
        <v>0.49354630001297251</v>
      </c>
      <c r="V67" s="12">
        <f t="shared" ca="1" si="24"/>
        <v>0.50479290991352932</v>
      </c>
      <c r="W67" s="12">
        <f t="shared" ca="1" si="24"/>
        <v>0.51649314204074193</v>
      </c>
      <c r="X67" s="12">
        <f t="shared" ca="1" si="24"/>
        <v>0.52789095935018504</v>
      </c>
      <c r="Y67" s="12">
        <f t="shared" ca="1" si="24"/>
        <v>0.53936438036406853</v>
      </c>
      <c r="Z67" s="12">
        <f t="shared" ca="1" si="24"/>
        <v>0.55083780137795491</v>
      </c>
      <c r="AA67" s="12">
        <f t="shared" ca="1" si="24"/>
        <v>0.56231122239183828</v>
      </c>
      <c r="AB67" s="12">
        <f t="shared" ca="1" si="24"/>
        <v>0.57378464340572466</v>
      </c>
      <c r="AC67" s="12">
        <f t="shared" ca="1" si="24"/>
        <v>0.58525806441960815</v>
      </c>
      <c r="AD67" s="12">
        <f t="shared" ca="1" si="24"/>
        <v>0.59673148543349153</v>
      </c>
      <c r="AE67" s="12">
        <f t="shared" ca="1" si="24"/>
        <v>0.6082049064473779</v>
      </c>
      <c r="AF67" s="12">
        <f t="shared" ca="1" si="24"/>
        <v>0.61967832746126139</v>
      </c>
      <c r="AG67" s="12">
        <f t="shared" ca="1" si="24"/>
        <v>0.63115174847514766</v>
      </c>
      <c r="AH67" s="12">
        <f t="shared" ca="1" si="24"/>
        <v>0.64262516948903114</v>
      </c>
      <c r="AI67" s="12">
        <f t="shared" ca="1" si="24"/>
        <v>0.65409859050291741</v>
      </c>
      <c r="AJ67" s="12">
        <f t="shared" ca="1" si="24"/>
        <v>0.6655720115168009</v>
      </c>
      <c r="AK67" s="12">
        <f t="shared" ca="1" si="24"/>
        <v>0.67704543253068439</v>
      </c>
      <c r="AL67" s="12">
        <f t="shared" ref="AL67:AM67" ca="1" si="25">OFFSET(AL51,0,$H$58)</f>
        <v>0.68851885354457065</v>
      </c>
      <c r="AM67" s="12">
        <f t="shared" ca="1" si="25"/>
        <v>0.69999227455845414</v>
      </c>
      <c r="AN67" s="12">
        <f t="shared" ca="1" si="24"/>
        <v>0.71146569557234041</v>
      </c>
      <c r="AO67" s="11"/>
    </row>
    <row r="68" spans="3:41">
      <c r="E68" s="12"/>
      <c r="F68" s="13" t="s">
        <v>12</v>
      </c>
      <c r="G68" s="12">
        <f t="shared" ref="G68" ca="1" si="26">OFFSET(G52,0,$H$58)</f>
        <v>0.35254310341467965</v>
      </c>
      <c r="H68" s="12">
        <f t="shared" ref="H68:AN68" ca="1" si="27">OFFSET(H52,0,$H$58)</f>
        <v>0.36733823428631002</v>
      </c>
      <c r="I68" s="12">
        <f t="shared" ca="1" si="27"/>
        <v>0.3761074284406789</v>
      </c>
      <c r="J68" s="12">
        <f t="shared" ca="1" si="27"/>
        <v>0.38549699531803072</v>
      </c>
      <c r="K68" s="12">
        <f t="shared" ca="1" si="27"/>
        <v>0.39446865646502471</v>
      </c>
      <c r="L68" s="12">
        <f t="shared" ca="1" si="27"/>
        <v>0.40251674956569239</v>
      </c>
      <c r="M68" s="12">
        <f t="shared" ca="1" si="27"/>
        <v>0.41125826348143207</v>
      </c>
      <c r="N68" s="12">
        <f t="shared" ca="1" si="27"/>
        <v>0.42095570223475853</v>
      </c>
      <c r="O68" s="12">
        <f t="shared" ca="1" si="27"/>
        <v>0.43136434052598521</v>
      </c>
      <c r="P68" s="12">
        <f t="shared" ca="1" si="27"/>
        <v>0.44260641643728971</v>
      </c>
      <c r="Q68" s="12">
        <f t="shared" ca="1" si="27"/>
        <v>0.454671449536664</v>
      </c>
      <c r="R68" s="12">
        <f t="shared" ca="1" si="27"/>
        <v>0.46574218939064443</v>
      </c>
      <c r="S68" s="12">
        <f t="shared" ca="1" si="27"/>
        <v>0.47594744838077602</v>
      </c>
      <c r="T68" s="12">
        <f t="shared" ca="1" si="27"/>
        <v>0.48640478662113085</v>
      </c>
      <c r="U68" s="12">
        <f t="shared" ca="1" si="27"/>
        <v>0.49735309735682104</v>
      </c>
      <c r="V68" s="12">
        <f t="shared" ca="1" si="27"/>
        <v>0.50869583696576104</v>
      </c>
      <c r="W68" s="12">
        <f t="shared" ca="1" si="27"/>
        <v>0.52050734463638026</v>
      </c>
      <c r="X68" s="12">
        <f t="shared" ca="1" si="27"/>
        <v>0.53200634026588323</v>
      </c>
      <c r="Y68" s="12">
        <f t="shared" ca="1" si="27"/>
        <v>0.54358346390566226</v>
      </c>
      <c r="Z68" s="12">
        <f t="shared" ca="1" si="27"/>
        <v>0.55516058754544129</v>
      </c>
      <c r="AA68" s="12">
        <f t="shared" ca="1" si="27"/>
        <v>0.56673771118522043</v>
      </c>
      <c r="AB68" s="12">
        <f t="shared" ca="1" si="27"/>
        <v>0.57831483482499946</v>
      </c>
      <c r="AC68" s="12">
        <f t="shared" ca="1" si="27"/>
        <v>0.58989195846478137</v>
      </c>
      <c r="AD68" s="12">
        <f t="shared" ca="1" si="27"/>
        <v>0.60146908210456052</v>
      </c>
      <c r="AE68" s="12">
        <f t="shared" ca="1" si="27"/>
        <v>0.61304620574433955</v>
      </c>
      <c r="AF68" s="12">
        <f t="shared" ca="1" si="27"/>
        <v>0.62462332938411858</v>
      </c>
      <c r="AG68" s="12">
        <f t="shared" ca="1" si="27"/>
        <v>0.63620045302389772</v>
      </c>
      <c r="AH68" s="12">
        <f t="shared" ca="1" si="27"/>
        <v>0.64777757666367963</v>
      </c>
      <c r="AI68" s="12">
        <f t="shared" ca="1" si="27"/>
        <v>0.65935470030345866</v>
      </c>
      <c r="AJ68" s="12">
        <f t="shared" ca="1" si="27"/>
        <v>0.6709318239432378</v>
      </c>
      <c r="AK68" s="12">
        <f t="shared" ca="1" si="27"/>
        <v>0.68250894758301683</v>
      </c>
      <c r="AL68" s="12">
        <f t="shared" ref="AL68:AM68" ca="1" si="28">OFFSET(AL52,0,$H$58)</f>
        <v>0.69408607122279586</v>
      </c>
      <c r="AM68" s="12">
        <f t="shared" ca="1" si="28"/>
        <v>0.70566319486257778</v>
      </c>
      <c r="AN68" s="12">
        <f t="shared" ca="1" si="27"/>
        <v>0.71724031850235692</v>
      </c>
      <c r="AO68" s="11"/>
    </row>
    <row r="69" spans="3:41">
      <c r="E69" s="12"/>
      <c r="F69" s="13" t="s">
        <v>13</v>
      </c>
      <c r="G69" s="12">
        <f t="shared" ref="G69" ca="1" si="29">OFFSET(G53,0,$H$58)</f>
        <v>0.32243685987521942</v>
      </c>
      <c r="H69" s="12">
        <f t="shared" ref="H69:AN69" ca="1" si="30">OFFSET(H53,0,$H$58)</f>
        <v>0.33490679558169634</v>
      </c>
      <c r="I69" s="12">
        <f t="shared" ca="1" si="30"/>
        <v>0.3426259841794092</v>
      </c>
      <c r="J69" s="12">
        <f t="shared" ca="1" si="30"/>
        <v>0.35135235351974747</v>
      </c>
      <c r="K69" s="12">
        <f t="shared" ca="1" si="30"/>
        <v>0.35939296832441586</v>
      </c>
      <c r="L69" s="12">
        <f t="shared" ca="1" si="30"/>
        <v>0.36666624593716629</v>
      </c>
      <c r="M69" s="12">
        <f t="shared" ca="1" si="30"/>
        <v>0.37473828565921552</v>
      </c>
      <c r="N69" s="12">
        <f t="shared" ca="1" si="30"/>
        <v>0.38359711952277042</v>
      </c>
      <c r="O69" s="12">
        <f t="shared" ca="1" si="30"/>
        <v>0.39311038432264572</v>
      </c>
      <c r="P69" s="12">
        <f t="shared" ca="1" si="30"/>
        <v>0.40339671841533864</v>
      </c>
      <c r="Q69" s="12">
        <f t="shared" ca="1" si="30"/>
        <v>0.41440609540447976</v>
      </c>
      <c r="R69" s="12">
        <f t="shared" ca="1" si="30"/>
        <v>0.42433825809707582</v>
      </c>
      <c r="S69" s="12">
        <f t="shared" ca="1" si="30"/>
        <v>0.43364770354050924</v>
      </c>
      <c r="T69" s="12">
        <f t="shared" ca="1" si="30"/>
        <v>0.443186106269222</v>
      </c>
      <c r="U69" s="12">
        <f t="shared" ca="1" si="30"/>
        <v>0.45318023265572627</v>
      </c>
      <c r="V69" s="12">
        <f t="shared" ca="1" si="30"/>
        <v>0.46352410116687082</v>
      </c>
      <c r="W69" s="12">
        <f t="shared" ca="1" si="30"/>
        <v>0.47430571003598665</v>
      </c>
      <c r="X69" s="12">
        <f t="shared" ca="1" si="30"/>
        <v>0.4847954919997875</v>
      </c>
      <c r="Y69" s="12">
        <f t="shared" ca="1" si="30"/>
        <v>0.49535823068991647</v>
      </c>
      <c r="Z69" s="12">
        <f t="shared" ca="1" si="30"/>
        <v>0.50592096938004827</v>
      </c>
      <c r="AA69" s="12">
        <f t="shared" ca="1" si="30"/>
        <v>0.51648370807017729</v>
      </c>
      <c r="AB69" s="12">
        <f t="shared" ca="1" si="30"/>
        <v>0.5270464467603091</v>
      </c>
      <c r="AC69" s="12">
        <f t="shared" ca="1" si="30"/>
        <v>0.53760918545043812</v>
      </c>
      <c r="AD69" s="12">
        <f t="shared" ca="1" si="30"/>
        <v>0.54817192414056704</v>
      </c>
      <c r="AE69" s="12">
        <f t="shared" ca="1" si="30"/>
        <v>0.55873466283069884</v>
      </c>
      <c r="AF69" s="12">
        <f t="shared" ca="1" si="30"/>
        <v>0.56929740152082786</v>
      </c>
      <c r="AG69" s="12">
        <f t="shared" ca="1" si="30"/>
        <v>0.57986014021095966</v>
      </c>
      <c r="AH69" s="12">
        <f t="shared" ca="1" si="30"/>
        <v>0.59042287890108869</v>
      </c>
      <c r="AI69" s="12">
        <f t="shared" ca="1" si="30"/>
        <v>0.60098561759122049</v>
      </c>
      <c r="AJ69" s="12">
        <f t="shared" ca="1" si="30"/>
        <v>0.61154835628134951</v>
      </c>
      <c r="AK69" s="12">
        <f t="shared" ca="1" si="30"/>
        <v>0.62211109497147843</v>
      </c>
      <c r="AL69" s="12">
        <f t="shared" ref="AL69:AM69" ca="1" si="31">OFFSET(AL53,0,$H$58)</f>
        <v>0.63267383366161023</v>
      </c>
      <c r="AM69" s="12">
        <f t="shared" ca="1" si="31"/>
        <v>0.64323657235173926</v>
      </c>
      <c r="AN69" s="12">
        <f t="shared" ca="1" si="30"/>
        <v>0.65379931104187106</v>
      </c>
      <c r="AO69" s="11"/>
    </row>
    <row r="70" spans="3:41">
      <c r="E70" s="12"/>
      <c r="F70" s="13" t="s">
        <v>14</v>
      </c>
      <c r="G70" s="12">
        <f t="shared" ref="G70" ca="1" si="32">OFFSET(G54,0,$H$58)</f>
        <v>0.32678087790782456</v>
      </c>
      <c r="H70" s="12">
        <f t="shared" ref="H70:AN70" ca="1" si="33">OFFSET(H54,0,$H$58)</f>
        <v>0.33835141388750845</v>
      </c>
      <c r="I70" s="12">
        <f t="shared" ca="1" si="33"/>
        <v>0.34587185103631779</v>
      </c>
      <c r="J70" s="12">
        <f t="shared" ca="1" si="33"/>
        <v>0.3548551729876277</v>
      </c>
      <c r="K70" s="12">
        <f t="shared" ca="1" si="33"/>
        <v>0.36283834373537721</v>
      </c>
      <c r="L70" s="12">
        <f t="shared" ca="1" si="33"/>
        <v>0.37012161311040509</v>
      </c>
      <c r="M70" s="12">
        <f t="shared" ca="1" si="33"/>
        <v>0.37837984228552218</v>
      </c>
      <c r="N70" s="12">
        <f t="shared" ca="1" si="33"/>
        <v>0.3873475011238906</v>
      </c>
      <c r="O70" s="12">
        <f t="shared" ca="1" si="33"/>
        <v>0.39698239482153247</v>
      </c>
      <c r="P70" s="12">
        <f t="shared" ca="1" si="33"/>
        <v>0.40741163569083028</v>
      </c>
      <c r="Q70" s="12">
        <f t="shared" ca="1" si="33"/>
        <v>0.41854386641841207</v>
      </c>
      <c r="R70" s="12">
        <f t="shared" ca="1" si="33"/>
        <v>0.42841564277826683</v>
      </c>
      <c r="S70" s="12">
        <f t="shared" ca="1" si="33"/>
        <v>0.43782606796100049</v>
      </c>
      <c r="T70" s="12">
        <f t="shared" ca="1" si="33"/>
        <v>0.44746693146143157</v>
      </c>
      <c r="U70" s="12">
        <f t="shared" ca="1" si="33"/>
        <v>0.45757637291520148</v>
      </c>
      <c r="V70" s="12">
        <f t="shared" ca="1" si="33"/>
        <v>0.46802920604502873</v>
      </c>
      <c r="W70" s="12">
        <f t="shared" ca="1" si="33"/>
        <v>0.47893472889951072</v>
      </c>
      <c r="X70" s="12">
        <f t="shared" ca="1" si="33"/>
        <v>0.48953845860422407</v>
      </c>
      <c r="Y70" s="12">
        <f t="shared" ca="1" si="33"/>
        <v>0.50021763659637775</v>
      </c>
      <c r="Z70" s="12">
        <f t="shared" ca="1" si="33"/>
        <v>0.5108968145885342</v>
      </c>
      <c r="AA70" s="12">
        <f t="shared" ca="1" si="33"/>
        <v>0.52157599258068787</v>
      </c>
      <c r="AB70" s="12">
        <f t="shared" ca="1" si="33"/>
        <v>0.53225517057284155</v>
      </c>
      <c r="AC70" s="12">
        <f t="shared" ca="1" si="33"/>
        <v>0.542934348564998</v>
      </c>
      <c r="AD70" s="12">
        <f t="shared" ca="1" si="33"/>
        <v>0.55361352655715168</v>
      </c>
      <c r="AE70" s="12">
        <f t="shared" ca="1" si="33"/>
        <v>0.56429270454930536</v>
      </c>
      <c r="AF70" s="12">
        <f t="shared" ca="1" si="33"/>
        <v>0.57497188254146181</v>
      </c>
      <c r="AG70" s="12">
        <f t="shared" ca="1" si="33"/>
        <v>0.58565106053361549</v>
      </c>
      <c r="AH70" s="12">
        <f t="shared" ca="1" si="33"/>
        <v>0.59633023852576916</v>
      </c>
      <c r="AI70" s="12">
        <f t="shared" ca="1" si="33"/>
        <v>0.60700941651792562</v>
      </c>
      <c r="AJ70" s="12">
        <f t="shared" ca="1" si="33"/>
        <v>0.61768859451007929</v>
      </c>
      <c r="AK70" s="12">
        <f t="shared" ca="1" si="33"/>
        <v>0.62836777250223297</v>
      </c>
      <c r="AL70" s="12">
        <f t="shared" ref="AL70:AM70" ca="1" si="34">OFFSET(AL54,0,$H$58)</f>
        <v>0.63904695049438942</v>
      </c>
      <c r="AM70" s="12">
        <f t="shared" ca="1" si="34"/>
        <v>0.6497261284865431</v>
      </c>
      <c r="AN70" s="12">
        <f t="shared" ca="1" si="33"/>
        <v>0.66040530647869677</v>
      </c>
      <c r="AO70" s="11"/>
    </row>
    <row r="71" spans="3:41">
      <c r="E71" s="12"/>
      <c r="F71" s="13" t="s">
        <v>15</v>
      </c>
      <c r="G71" s="12">
        <f t="shared" ref="G71" ca="1" si="35">OFFSET(G55,0,$H$58)</f>
        <v>0.32191497899376398</v>
      </c>
      <c r="H71" s="12">
        <f t="shared" ref="H71:AN71" ca="1" si="36">OFFSET(H55,0,$H$58)</f>
        <v>0.33227012208255963</v>
      </c>
      <c r="I71" s="12">
        <f t="shared" ca="1" si="36"/>
        <v>0.33938272050189744</v>
      </c>
      <c r="J71" s="12">
        <f t="shared" ca="1" si="36"/>
        <v>0.34836849121104679</v>
      </c>
      <c r="K71" s="12">
        <f t="shared" ca="1" si="36"/>
        <v>0.35607079188841995</v>
      </c>
      <c r="L71" s="12">
        <f t="shared" ca="1" si="36"/>
        <v>0.36315961636318833</v>
      </c>
      <c r="M71" s="12">
        <f t="shared" ca="1" si="36"/>
        <v>0.37137055362353216</v>
      </c>
      <c r="N71" s="12">
        <f t="shared" ca="1" si="36"/>
        <v>0.38019439468039523</v>
      </c>
      <c r="O71" s="12">
        <f t="shared" ca="1" si="36"/>
        <v>0.38967943156837098</v>
      </c>
      <c r="P71" s="12">
        <f t="shared" ca="1" si="36"/>
        <v>0.39995760294044841</v>
      </c>
      <c r="Q71" s="12">
        <f t="shared" ca="1" si="36"/>
        <v>0.41089918037608236</v>
      </c>
      <c r="R71" s="12">
        <f t="shared" ca="1" si="36"/>
        <v>0.42043418555605488</v>
      </c>
      <c r="S71" s="12">
        <f t="shared" ca="1" si="36"/>
        <v>0.42968060068081326</v>
      </c>
      <c r="T71" s="12">
        <f t="shared" ca="1" si="36"/>
        <v>0.43915245572101813</v>
      </c>
      <c r="U71" s="12">
        <f t="shared" ca="1" si="36"/>
        <v>0.44909247313083139</v>
      </c>
      <c r="V71" s="12">
        <f t="shared" ca="1" si="36"/>
        <v>0.45935995845526811</v>
      </c>
      <c r="W71" s="12">
        <f t="shared" ca="1" si="36"/>
        <v>0.47008223864751042</v>
      </c>
      <c r="X71" s="12">
        <f t="shared" ca="1" si="36"/>
        <v>0.48050132226121606</v>
      </c>
      <c r="Y71" s="12">
        <f t="shared" ca="1" si="36"/>
        <v>0.49099620501955599</v>
      </c>
      <c r="Z71" s="12">
        <f t="shared" ca="1" si="36"/>
        <v>0.50149108777789597</v>
      </c>
      <c r="AA71" s="12">
        <f t="shared" ca="1" si="36"/>
        <v>0.51198597053623307</v>
      </c>
      <c r="AB71" s="12">
        <f t="shared" ca="1" si="36"/>
        <v>0.52248085329457294</v>
      </c>
      <c r="AC71" s="12">
        <f t="shared" ca="1" si="36"/>
        <v>0.53297573605291293</v>
      </c>
      <c r="AD71" s="12">
        <f t="shared" ca="1" si="36"/>
        <v>0.5434706188112528</v>
      </c>
      <c r="AE71" s="12">
        <f t="shared" ca="1" si="36"/>
        <v>0.55396550156959279</v>
      </c>
      <c r="AF71" s="12">
        <f t="shared" ca="1" si="36"/>
        <v>0.56446038432793277</v>
      </c>
      <c r="AG71" s="12">
        <f t="shared" ca="1" si="36"/>
        <v>0.57495526708626987</v>
      </c>
      <c r="AH71" s="12">
        <f t="shared" ca="1" si="36"/>
        <v>0.58545014984460975</v>
      </c>
      <c r="AI71" s="12">
        <f t="shared" ca="1" si="36"/>
        <v>0.59594503260294973</v>
      </c>
      <c r="AJ71" s="12">
        <f t="shared" ca="1" si="36"/>
        <v>0.60643991536128961</v>
      </c>
      <c r="AK71" s="12">
        <f t="shared" ca="1" si="36"/>
        <v>0.61693479811962959</v>
      </c>
      <c r="AL71" s="12">
        <f t="shared" ref="AL71:AM71" ca="1" si="37">OFFSET(AL55,0,$H$58)</f>
        <v>0.62742968087796958</v>
      </c>
      <c r="AM71" s="12">
        <f t="shared" ca="1" si="37"/>
        <v>0.63792456363630945</v>
      </c>
      <c r="AN71" s="12">
        <f t="shared" ca="1" si="36"/>
        <v>0.64841944639464655</v>
      </c>
      <c r="AO71" s="11"/>
    </row>
    <row r="72" spans="3:41">
      <c r="E72" s="12"/>
      <c r="F72" s="13" t="s">
        <v>16</v>
      </c>
      <c r="G72" s="12">
        <f t="shared" ref="G72" ca="1" si="38">OFFSET(G56,0,$H$58)</f>
        <v>0.35716504421973772</v>
      </c>
      <c r="H72" s="12">
        <f t="shared" ref="H72:AN72" ca="1" si="39">OFFSET(H56,0,$H$58)</f>
        <v>0.36750597594675655</v>
      </c>
      <c r="I72" s="12">
        <f t="shared" ca="1" si="39"/>
        <v>0.37507177207559822</v>
      </c>
      <c r="J72" s="12">
        <f t="shared" ca="1" si="39"/>
        <v>0.38519142178461352</v>
      </c>
      <c r="K72" s="12">
        <f t="shared" ca="1" si="39"/>
        <v>0.39355882771698325</v>
      </c>
      <c r="L72" s="12">
        <f t="shared" ca="1" si="39"/>
        <v>0.40132923566395212</v>
      </c>
      <c r="M72" s="12">
        <f t="shared" ca="1" si="39"/>
        <v>0.41052257487361271</v>
      </c>
      <c r="N72" s="12">
        <f t="shared" ca="1" si="39"/>
        <v>0.42030131561791773</v>
      </c>
      <c r="O72" s="12">
        <f t="shared" ca="1" si="39"/>
        <v>0.43081794252016942</v>
      </c>
      <c r="P72" s="12">
        <f t="shared" ca="1" si="39"/>
        <v>0.44222623717150789</v>
      </c>
      <c r="Q72" s="12">
        <f t="shared" ca="1" si="39"/>
        <v>0.45433853453848438</v>
      </c>
      <c r="R72" s="12">
        <f t="shared" ca="1" si="39"/>
        <v>0.46470875274148093</v>
      </c>
      <c r="S72" s="12">
        <f t="shared" ca="1" si="39"/>
        <v>0.47494137156381366</v>
      </c>
      <c r="T72" s="12">
        <f t="shared" ca="1" si="39"/>
        <v>0.48542239139466148</v>
      </c>
      <c r="U72" s="12">
        <f t="shared" ca="1" si="39"/>
        <v>0.49643006021685682</v>
      </c>
      <c r="V72" s="12">
        <f t="shared" ca="1" si="39"/>
        <v>0.50778915626111054</v>
      </c>
      <c r="W72" s="12">
        <f t="shared" ca="1" si="39"/>
        <v>0.51966258412633792</v>
      </c>
      <c r="X72" s="12">
        <f t="shared" ca="1" si="39"/>
        <v>0.53119312411091646</v>
      </c>
      <c r="Y72" s="12">
        <f t="shared" ca="1" si="39"/>
        <v>0.54280938606565599</v>
      </c>
      <c r="Z72" s="12">
        <f t="shared" ca="1" si="39"/>
        <v>0.5544256480203984</v>
      </c>
      <c r="AA72" s="12">
        <f t="shared" ca="1" si="39"/>
        <v>0.56604190997513792</v>
      </c>
      <c r="AB72" s="12">
        <f t="shared" ca="1" si="39"/>
        <v>0.57765817192987756</v>
      </c>
      <c r="AC72" s="12">
        <f t="shared" ca="1" si="39"/>
        <v>0.58927443388461997</v>
      </c>
      <c r="AD72" s="12">
        <f t="shared" ca="1" si="39"/>
        <v>0.6008906958393595</v>
      </c>
      <c r="AE72" s="12">
        <f t="shared" ca="1" si="39"/>
        <v>0.61250695779409914</v>
      </c>
      <c r="AF72" s="12">
        <f t="shared" ca="1" si="39"/>
        <v>0.62412321974884155</v>
      </c>
      <c r="AG72" s="12">
        <f t="shared" ca="1" si="39"/>
        <v>0.63573948170358108</v>
      </c>
      <c r="AH72" s="12">
        <f t="shared" ca="1" si="39"/>
        <v>0.6473557436583206</v>
      </c>
      <c r="AI72" s="12">
        <f t="shared" ca="1" si="39"/>
        <v>0.65897200561306302</v>
      </c>
      <c r="AJ72" s="12">
        <f t="shared" ca="1" si="39"/>
        <v>0.67058826756780265</v>
      </c>
      <c r="AK72" s="12">
        <f t="shared" ca="1" si="39"/>
        <v>0.68220452952254218</v>
      </c>
      <c r="AL72" s="12">
        <f t="shared" ref="AL72:AM72" ca="1" si="40">OFFSET(AL56,0,$H$58)</f>
        <v>0.69382079147728459</v>
      </c>
      <c r="AM72" s="12">
        <f t="shared" ca="1" si="40"/>
        <v>0.70543705343202423</v>
      </c>
      <c r="AN72" s="12">
        <f t="shared" ca="1" si="39"/>
        <v>0.71705331538676376</v>
      </c>
      <c r="AO72" s="11"/>
    </row>
    <row r="73" spans="3:41">
      <c r="E73" s="12"/>
      <c r="F73" s="12"/>
      <c r="G73" s="12"/>
      <c r="H73" s="12"/>
      <c r="I73" s="12"/>
      <c r="J73" s="12"/>
      <c r="AO73" s="11"/>
    </row>
    <row r="74" spans="3:41">
      <c r="E74" s="12"/>
      <c r="F74" s="12"/>
      <c r="G74" s="12"/>
      <c r="H74" s="12"/>
      <c r="I74" s="12"/>
      <c r="J74" s="12"/>
      <c r="AO74" s="11"/>
    </row>
    <row r="75" spans="3:41">
      <c r="E75" s="12"/>
      <c r="F75" s="12"/>
      <c r="G75" s="12"/>
      <c r="H75" s="12"/>
      <c r="I75" s="12"/>
      <c r="J75" s="12"/>
      <c r="AO75" s="11"/>
    </row>
    <row r="76" spans="3:4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7" spans="3:41">
      <c r="AO77" s="11"/>
    </row>
    <row r="78" spans="3:41">
      <c r="E78" s="12"/>
      <c r="F78" s="12"/>
      <c r="G78" s="12"/>
      <c r="H78" s="12"/>
      <c r="I78" s="12"/>
      <c r="J78" s="12"/>
      <c r="AO78" s="11"/>
    </row>
    <row r="79" spans="3:41">
      <c r="E79" s="12"/>
      <c r="F79" s="12"/>
      <c r="G79" s="12"/>
      <c r="H79" s="12"/>
      <c r="I79" s="12"/>
      <c r="J79" s="12"/>
      <c r="W79" s="33"/>
      <c r="AO79" s="11"/>
    </row>
    <row r="80" spans="3:41">
      <c r="E80" s="12"/>
      <c r="F80" s="12"/>
      <c r="G80" s="12"/>
      <c r="H80" s="12"/>
      <c r="I80" s="12"/>
      <c r="J80" s="12"/>
      <c r="AO80" s="11"/>
    </row>
    <row r="81" spans="5:41">
      <c r="E81" s="12"/>
      <c r="F81" s="12"/>
      <c r="G81" s="12"/>
      <c r="H81" s="12"/>
      <c r="I81" s="12"/>
      <c r="J81" s="12"/>
      <c r="AO81" s="11"/>
    </row>
    <row r="82" spans="5:41">
      <c r="E82" s="12"/>
      <c r="F82" s="12"/>
      <c r="G82" s="12"/>
      <c r="H82" s="12"/>
      <c r="I82" s="12"/>
      <c r="J82" s="12"/>
      <c r="AO82" s="11"/>
    </row>
    <row r="83" spans="5:41">
      <c r="E83" s="12"/>
      <c r="F83" s="12"/>
      <c r="G83" s="12"/>
      <c r="H83" s="12"/>
      <c r="I83" s="12"/>
      <c r="J83" s="12"/>
      <c r="AO83" s="11"/>
    </row>
    <row r="84" spans="5:41">
      <c r="E84" s="12"/>
      <c r="F84" s="12"/>
      <c r="G84" s="12"/>
      <c r="H84" s="12"/>
      <c r="I84" s="12"/>
      <c r="J84" s="12"/>
      <c r="AO84" s="11"/>
    </row>
    <row r="85" spans="5:41">
      <c r="E85" s="12"/>
      <c r="F85" s="12"/>
      <c r="G85" s="12"/>
      <c r="H85" s="12"/>
      <c r="I85" s="12"/>
      <c r="J85" s="12"/>
      <c r="AO85" s="11"/>
    </row>
    <row r="86" spans="5:41">
      <c r="E86" s="12"/>
      <c r="F86" s="12"/>
      <c r="G86" s="12"/>
      <c r="H86" s="12"/>
      <c r="I86" s="12"/>
      <c r="J86" s="12"/>
      <c r="AO86" s="11"/>
    </row>
    <row r="87" spans="5:41">
      <c r="E87" s="12"/>
      <c r="F87" s="12"/>
      <c r="G87" s="12"/>
      <c r="H87" s="12"/>
      <c r="I87" s="12"/>
      <c r="J87" s="12"/>
      <c r="AO87" s="11"/>
    </row>
    <row r="88" spans="5:41">
      <c r="E88" s="12"/>
      <c r="F88" s="12"/>
      <c r="G88" s="12"/>
      <c r="H88" s="12"/>
      <c r="I88" s="12"/>
      <c r="J88" s="12"/>
      <c r="AO88" s="11"/>
    </row>
    <row r="89" spans="5:41">
      <c r="E89" s="12"/>
      <c r="F89" s="12"/>
      <c r="G89" s="12"/>
      <c r="H89" s="12"/>
      <c r="I89" s="12"/>
      <c r="J89" s="12"/>
      <c r="AO89" s="11"/>
    </row>
    <row r="90" spans="5:41">
      <c r="E90" s="12"/>
      <c r="F90" s="12"/>
      <c r="G90" s="12"/>
      <c r="H90" s="12"/>
      <c r="I90" s="12"/>
      <c r="J90" s="12"/>
      <c r="AO90" s="11"/>
    </row>
    <row r="91" spans="5:41">
      <c r="E91" s="12"/>
      <c r="F91" s="12"/>
      <c r="G91" s="12"/>
      <c r="H91" s="12"/>
      <c r="I91" s="12"/>
      <c r="J91" s="12"/>
      <c r="AO91" s="11"/>
    </row>
    <row r="92" spans="5:41">
      <c r="E92" s="12"/>
      <c r="F92" s="12"/>
      <c r="G92" s="12"/>
      <c r="H92" s="12"/>
      <c r="I92" s="12"/>
      <c r="J92" s="12"/>
      <c r="AO92" s="11"/>
    </row>
    <row r="93" spans="5:41">
      <c r="E93" s="12"/>
      <c r="F93" s="12"/>
      <c r="G93" s="12"/>
      <c r="H93" s="12"/>
      <c r="I93" s="12"/>
      <c r="J93" s="12"/>
      <c r="AO93" s="11"/>
    </row>
    <row r="94" spans="5:41">
      <c r="E94" s="12"/>
      <c r="F94" s="12"/>
      <c r="G94" s="12"/>
      <c r="H94" s="12"/>
      <c r="I94" s="12"/>
      <c r="J94" s="12"/>
      <c r="AO94" s="11"/>
    </row>
    <row r="95" spans="5:41">
      <c r="E95" s="12"/>
      <c r="F95" s="12"/>
      <c r="G95" s="12"/>
      <c r="H95" s="12"/>
      <c r="I95" s="12"/>
      <c r="J95" s="12"/>
      <c r="AO95" s="11"/>
    </row>
    <row r="96" spans="5:41">
      <c r="E96" s="12"/>
      <c r="F96" s="12"/>
      <c r="G96" s="12"/>
      <c r="H96" s="12"/>
      <c r="I96" s="12"/>
      <c r="J96" s="12"/>
      <c r="AO96" s="11"/>
    </row>
    <row r="97" spans="5:41">
      <c r="E97" s="12"/>
      <c r="F97" s="12"/>
      <c r="G97" s="12"/>
      <c r="H97" s="12"/>
      <c r="I97" s="12"/>
      <c r="J97" s="12"/>
      <c r="AO97" s="11"/>
    </row>
    <row r="98" spans="5:41">
      <c r="E98" s="12"/>
      <c r="F98" s="12"/>
      <c r="G98" s="12"/>
      <c r="H98" s="12"/>
      <c r="I98" s="12"/>
      <c r="J98" s="12"/>
      <c r="AO98" s="11"/>
    </row>
    <row r="99" spans="5:41">
      <c r="E99" s="12"/>
      <c r="F99" s="12"/>
      <c r="G99" s="12"/>
      <c r="H99" s="12"/>
      <c r="I99" s="12"/>
      <c r="J99" s="12"/>
      <c r="AO99" s="11"/>
    </row>
    <row r="100" spans="5:41">
      <c r="E100" s="12"/>
      <c r="F100" s="12"/>
      <c r="G100" s="12"/>
      <c r="H100" s="12"/>
      <c r="I100" s="12"/>
      <c r="J100" s="12"/>
      <c r="AO100" s="11"/>
    </row>
    <row r="101" spans="5:41">
      <c r="E101" s="12"/>
      <c r="F101" s="12"/>
      <c r="G101" s="12"/>
      <c r="H101" s="12"/>
      <c r="I101" s="12"/>
      <c r="J101" s="12"/>
      <c r="AO101" s="11"/>
    </row>
    <row r="102" spans="5:41">
      <c r="E102" s="12"/>
      <c r="F102" s="12"/>
      <c r="G102" s="12"/>
      <c r="H102" s="12"/>
      <c r="I102" s="12"/>
      <c r="J102" s="12"/>
      <c r="AO102" s="11"/>
    </row>
    <row r="103" spans="5:41">
      <c r="E103" s="12"/>
      <c r="F103" s="12"/>
      <c r="G103" s="12"/>
      <c r="H103" s="12"/>
      <c r="I103" s="12"/>
      <c r="J103" s="12"/>
      <c r="AO103" s="11"/>
    </row>
    <row r="104" spans="5:41">
      <c r="E104" s="12"/>
      <c r="F104" s="12"/>
      <c r="G104" s="12"/>
      <c r="H104" s="12"/>
      <c r="I104" s="12"/>
      <c r="J104" s="12"/>
      <c r="AO104" s="11"/>
    </row>
    <row r="105" spans="5:41">
      <c r="E105" s="12"/>
      <c r="F105" s="12"/>
      <c r="G105" s="12"/>
      <c r="H105" s="12"/>
      <c r="I105" s="12"/>
      <c r="J105" s="12"/>
      <c r="AO105" s="11"/>
    </row>
    <row r="106" spans="5:41">
      <c r="E106" s="12"/>
      <c r="F106" s="12"/>
      <c r="G106" s="12"/>
      <c r="H106" s="12"/>
      <c r="I106" s="12"/>
      <c r="J106" s="12"/>
      <c r="AO106" s="11"/>
    </row>
    <row r="107" spans="5:41">
      <c r="E107" s="12"/>
      <c r="F107" s="12"/>
      <c r="G107" s="12"/>
      <c r="H107" s="12"/>
      <c r="I107" s="12"/>
      <c r="J107" s="12"/>
      <c r="AO107" s="11"/>
    </row>
    <row r="108" spans="5:41">
      <c r="E108" s="12"/>
      <c r="F108" s="12"/>
      <c r="G108" s="12"/>
      <c r="H108" s="12"/>
      <c r="I108" s="12"/>
      <c r="J108" s="12"/>
      <c r="AO108" s="11"/>
    </row>
    <row r="109" spans="5:41">
      <c r="E109" s="12"/>
      <c r="F109" s="12"/>
      <c r="G109" s="12"/>
      <c r="H109" s="12"/>
      <c r="I109" s="12"/>
      <c r="J109" s="12"/>
      <c r="AO109" s="11"/>
    </row>
    <row r="110" spans="5:41">
      <c r="E110" s="12"/>
      <c r="F110" s="12"/>
      <c r="G110" s="12"/>
      <c r="H110" s="12"/>
      <c r="I110" s="12"/>
      <c r="J110" s="12"/>
    </row>
    <row r="111" spans="5:41">
      <c r="E111" s="12"/>
      <c r="F111" s="12"/>
      <c r="G111" s="12"/>
      <c r="H111" s="12"/>
      <c r="I111" s="12"/>
      <c r="J111" s="12"/>
    </row>
    <row r="112" spans="5:41">
      <c r="E112" s="12"/>
      <c r="F112" s="12"/>
      <c r="G112" s="12"/>
      <c r="H112" s="12"/>
      <c r="I112" s="12"/>
      <c r="J112" s="12"/>
    </row>
    <row r="113" spans="5:10">
      <c r="E113" s="12"/>
      <c r="F113" s="12"/>
      <c r="G113" s="12"/>
      <c r="H113" s="12"/>
      <c r="I113" s="12"/>
      <c r="J113" s="12"/>
    </row>
    <row r="114" spans="5:10">
      <c r="E114" s="12"/>
      <c r="F114" s="12"/>
      <c r="G114" s="12"/>
      <c r="H114" s="12"/>
      <c r="I114" s="12"/>
      <c r="J114" s="12"/>
    </row>
    <row r="115" spans="5:10">
      <c r="E115" s="12"/>
      <c r="F115" s="12"/>
      <c r="G115" s="12"/>
      <c r="H115" s="12"/>
      <c r="I115" s="12"/>
      <c r="J115" s="12"/>
    </row>
    <row r="116" spans="5:10">
      <c r="E116" s="12"/>
      <c r="F116" s="12"/>
      <c r="G116" s="12"/>
      <c r="H116" s="12"/>
      <c r="I116" s="12"/>
      <c r="J116" s="12"/>
    </row>
    <row r="117" spans="5:10">
      <c r="E117" s="12"/>
      <c r="F117" s="12"/>
      <c r="G117" s="12"/>
      <c r="H117" s="12"/>
      <c r="I117" s="12"/>
      <c r="J117" s="12"/>
    </row>
    <row r="118" spans="5:10">
      <c r="E118" s="12"/>
      <c r="F118" s="12"/>
      <c r="G118" s="12"/>
      <c r="H118" s="12"/>
      <c r="I118" s="12"/>
      <c r="J118" s="12"/>
    </row>
    <row r="119" spans="5:10">
      <c r="E119" s="12"/>
      <c r="F119" s="12"/>
      <c r="G119" s="12"/>
      <c r="H119" s="12"/>
      <c r="I119" s="12"/>
      <c r="J119" s="12"/>
    </row>
    <row r="120" spans="5:10">
      <c r="E120" s="12"/>
      <c r="F120" s="12"/>
      <c r="G120" s="12"/>
      <c r="H120" s="12"/>
      <c r="I120" s="12"/>
      <c r="J120" s="12"/>
    </row>
    <row r="121" spans="5:10">
      <c r="E121" s="12"/>
      <c r="F121" s="12"/>
      <c r="G121" s="12"/>
      <c r="H121" s="12"/>
      <c r="I121" s="12"/>
      <c r="J121" s="12"/>
    </row>
    <row r="122" spans="5:10">
      <c r="E122" s="12"/>
      <c r="F122" s="12"/>
      <c r="G122" s="12"/>
      <c r="H122" s="12"/>
      <c r="I122" s="12"/>
      <c r="J122" s="12"/>
    </row>
    <row r="123" spans="5:10">
      <c r="E123" s="12"/>
      <c r="F123" s="12"/>
      <c r="G123" s="12"/>
      <c r="H123" s="12"/>
      <c r="I123" s="12"/>
      <c r="J123" s="12"/>
    </row>
    <row r="124" spans="5:10">
      <c r="E124" s="12"/>
      <c r="F124" s="12"/>
      <c r="G124" s="12"/>
      <c r="H124" s="12"/>
      <c r="I124" s="12"/>
      <c r="J124" s="12"/>
    </row>
    <row r="125" spans="5:10">
      <c r="E125" s="12"/>
      <c r="F125" s="12"/>
      <c r="G125" s="12"/>
      <c r="H125" s="12"/>
      <c r="I125" s="12"/>
      <c r="J125" s="12"/>
    </row>
    <row r="126" spans="5:10">
      <c r="E126" s="12"/>
      <c r="F126" s="12"/>
      <c r="G126" s="12"/>
      <c r="H126" s="12"/>
      <c r="I126" s="12"/>
      <c r="J126" s="12"/>
    </row>
    <row r="127" spans="5:10">
      <c r="E127" s="12"/>
      <c r="F127" s="12"/>
      <c r="G127" s="12"/>
      <c r="H127" s="12"/>
      <c r="I127" s="12"/>
      <c r="J127" s="12"/>
    </row>
    <row r="128" spans="5:10">
      <c r="E128" s="12"/>
      <c r="F128" s="12"/>
      <c r="G128" s="12"/>
      <c r="H128" s="12"/>
      <c r="I128" s="12"/>
      <c r="J128" s="12"/>
    </row>
    <row r="129" spans="5:10">
      <c r="E129" s="12"/>
      <c r="F129" s="12"/>
      <c r="G129" s="12"/>
      <c r="H129" s="12"/>
      <c r="I129" s="12"/>
      <c r="J129" s="12"/>
    </row>
    <row r="130" spans="5:10">
      <c r="E130" s="12"/>
      <c r="F130" s="12"/>
      <c r="G130" s="12"/>
      <c r="H130" s="12"/>
      <c r="I130" s="12"/>
      <c r="J130" s="12"/>
    </row>
    <row r="131" spans="5:10">
      <c r="E131" s="12"/>
      <c r="F131" s="12"/>
      <c r="G131" s="12"/>
      <c r="H131" s="12"/>
      <c r="I131" s="12"/>
      <c r="J131" s="12"/>
    </row>
    <row r="132" spans="5:10">
      <c r="E132" s="12"/>
      <c r="F132" s="12"/>
      <c r="G132" s="12"/>
      <c r="H132" s="12"/>
      <c r="I132" s="12"/>
      <c r="J132" s="12"/>
    </row>
    <row r="133" spans="5:10">
      <c r="E133" s="12"/>
      <c r="F133" s="12"/>
      <c r="G133" s="12"/>
      <c r="H133" s="12"/>
      <c r="I133" s="12"/>
      <c r="J133" s="12"/>
    </row>
    <row r="134" spans="5:10">
      <c r="E134" s="12"/>
      <c r="F134" s="12"/>
      <c r="G134" s="12"/>
      <c r="H134" s="12"/>
      <c r="I134" s="12"/>
      <c r="J134" s="12"/>
    </row>
    <row r="135" spans="5:10">
      <c r="E135" s="12"/>
      <c r="F135" s="12"/>
      <c r="G135" s="12"/>
      <c r="H135" s="12"/>
      <c r="I135" s="12"/>
      <c r="J135" s="12"/>
    </row>
    <row r="136" spans="5:10">
      <c r="E136" s="12"/>
      <c r="F136" s="12"/>
      <c r="G136" s="12"/>
      <c r="H136" s="12"/>
      <c r="I136" s="12"/>
      <c r="J136" s="12"/>
    </row>
    <row r="137" spans="5:10">
      <c r="E137" s="12"/>
      <c r="F137" s="12"/>
      <c r="G137" s="12"/>
      <c r="H137" s="12"/>
      <c r="I137" s="12"/>
      <c r="J137" s="12"/>
    </row>
    <row r="138" spans="5:10">
      <c r="E138" s="12"/>
      <c r="F138" s="12"/>
      <c r="G138" s="12"/>
      <c r="H138" s="12"/>
      <c r="I138" s="12"/>
      <c r="J138" s="12"/>
    </row>
    <row r="139" spans="5:10">
      <c r="E139" s="12"/>
      <c r="F139" s="12"/>
      <c r="G139" s="12"/>
      <c r="H139" s="12"/>
      <c r="I139" s="12"/>
      <c r="J139" s="12"/>
    </row>
    <row r="140" spans="5:10">
      <c r="E140" s="12"/>
      <c r="F140" s="12"/>
      <c r="G140" s="12"/>
      <c r="H140" s="12"/>
      <c r="I140" s="12"/>
      <c r="J140" s="12"/>
    </row>
    <row r="141" spans="5:10">
      <c r="E141" s="12"/>
      <c r="F141" s="12"/>
      <c r="G141" s="12"/>
      <c r="H141" s="12"/>
      <c r="I141" s="12"/>
      <c r="J141" s="12"/>
    </row>
    <row r="142" spans="5:10">
      <c r="E142" s="12"/>
      <c r="F142" s="12"/>
      <c r="G142" s="12"/>
      <c r="H142" s="12"/>
      <c r="I142" s="12"/>
      <c r="J142" s="12"/>
    </row>
    <row r="143" spans="5:10">
      <c r="E143" s="12"/>
      <c r="F143" s="12"/>
      <c r="G143" s="12"/>
      <c r="H143" s="12"/>
      <c r="I143" s="12"/>
      <c r="J143" s="12"/>
    </row>
    <row r="144" spans="5:10">
      <c r="E144" s="12"/>
      <c r="F144" s="12"/>
      <c r="G144" s="12"/>
      <c r="H144" s="12"/>
      <c r="I144" s="12"/>
      <c r="J144" s="12"/>
    </row>
    <row r="145" spans="5:10">
      <c r="E145" s="12"/>
      <c r="F145" s="12"/>
      <c r="G145" s="12"/>
      <c r="H145" s="12"/>
      <c r="I145" s="12"/>
      <c r="J145" s="12"/>
    </row>
    <row r="146" spans="5:10">
      <c r="E146" s="12"/>
      <c r="F146" s="12"/>
      <c r="G146" s="12"/>
      <c r="H146" s="12"/>
      <c r="I146" s="12"/>
      <c r="J146" s="12"/>
    </row>
    <row r="147" spans="5:10">
      <c r="E147" s="12"/>
      <c r="F147" s="12"/>
      <c r="G147" s="12"/>
      <c r="H147" s="12"/>
      <c r="I147" s="12"/>
      <c r="J147" s="12"/>
    </row>
    <row r="148" spans="5:10">
      <c r="E148" s="12"/>
      <c r="F148" s="12"/>
      <c r="G148" s="12"/>
      <c r="H148" s="12"/>
      <c r="I148" s="12"/>
      <c r="J148" s="12"/>
    </row>
    <row r="149" spans="5:10">
      <c r="E149" s="12"/>
      <c r="F149" s="12"/>
      <c r="G149" s="12"/>
      <c r="H149" s="12"/>
      <c r="I149" s="12"/>
      <c r="J149" s="12"/>
    </row>
    <row r="150" spans="5:10">
      <c r="E150" s="12"/>
      <c r="F150" s="12"/>
      <c r="G150" s="12"/>
      <c r="H150" s="12"/>
      <c r="I150" s="12"/>
      <c r="J150" s="12"/>
    </row>
    <row r="151" spans="5:10">
      <c r="E151" s="12"/>
      <c r="F151" s="12"/>
      <c r="G151" s="12"/>
      <c r="H151" s="12"/>
      <c r="I151" s="12"/>
      <c r="J151" s="12"/>
    </row>
    <row r="152" spans="5:10">
      <c r="E152" s="12"/>
      <c r="F152" s="12"/>
      <c r="G152" s="12"/>
      <c r="H152" s="12"/>
      <c r="I152" s="12"/>
      <c r="J152" s="12"/>
    </row>
    <row r="153" spans="5:10">
      <c r="E153" s="12"/>
      <c r="F153" s="12"/>
      <c r="G153" s="12"/>
      <c r="H153" s="12"/>
      <c r="I153" s="12"/>
      <c r="J153" s="12"/>
    </row>
    <row r="154" spans="5:10">
      <c r="E154" s="12"/>
      <c r="F154" s="12"/>
      <c r="G154" s="12"/>
      <c r="H154" s="12"/>
      <c r="I154" s="12"/>
      <c r="J154" s="12"/>
    </row>
    <row r="155" spans="5:10">
      <c r="E155" s="12"/>
      <c r="F155" s="12"/>
      <c r="G155" s="12"/>
      <c r="H155" s="12"/>
      <c r="I155" s="12"/>
      <c r="J155" s="12"/>
    </row>
    <row r="156" spans="5:10">
      <c r="E156" s="12"/>
      <c r="F156" s="12"/>
      <c r="G156" s="12"/>
      <c r="H156" s="12"/>
      <c r="I156" s="12"/>
      <c r="J156" s="12"/>
    </row>
    <row r="157" spans="5:10">
      <c r="E157" s="12"/>
      <c r="F157" s="12"/>
      <c r="G157" s="12"/>
      <c r="H157" s="12"/>
      <c r="I157" s="12"/>
      <c r="J157" s="12"/>
    </row>
    <row r="158" spans="5:10">
      <c r="E158" s="12"/>
      <c r="F158" s="12"/>
      <c r="G158" s="12"/>
      <c r="H158" s="12"/>
      <c r="I158" s="12"/>
      <c r="J158" s="12"/>
    </row>
    <row r="159" spans="5:10">
      <c r="E159" s="12"/>
      <c r="F159" s="12"/>
      <c r="G159" s="12"/>
      <c r="H159" s="12"/>
      <c r="I159" s="12"/>
      <c r="J159" s="12"/>
    </row>
    <row r="160" spans="5:10">
      <c r="E160" s="12"/>
      <c r="F160" s="12"/>
      <c r="G160" s="12"/>
      <c r="H160" s="12"/>
      <c r="I160" s="12"/>
      <c r="J160" s="12"/>
    </row>
    <row r="161" spans="5:10">
      <c r="E161" s="12"/>
      <c r="F161" s="12"/>
      <c r="G161" s="12"/>
      <c r="H161" s="12"/>
      <c r="I161" s="12"/>
      <c r="J161" s="12"/>
    </row>
    <row r="162" spans="5:10">
      <c r="E162" s="12"/>
      <c r="F162" s="12"/>
      <c r="G162" s="12"/>
      <c r="H162" s="12"/>
      <c r="I162" s="12"/>
      <c r="J162" s="12"/>
    </row>
    <row r="163" spans="5:10">
      <c r="E163" s="12"/>
      <c r="F163" s="12"/>
      <c r="G163" s="12"/>
      <c r="H163" s="12"/>
      <c r="I163" s="12"/>
      <c r="J163" s="12"/>
    </row>
    <row r="164" spans="5:10">
      <c r="E164" s="12"/>
      <c r="F164" s="12"/>
      <c r="G164" s="12"/>
      <c r="H164" s="12"/>
      <c r="I164" s="12"/>
      <c r="J164" s="12"/>
    </row>
    <row r="165" spans="5:10">
      <c r="E165" s="12"/>
      <c r="F165" s="12"/>
      <c r="G165" s="12"/>
      <c r="H165" s="12"/>
      <c r="I165" s="12"/>
      <c r="J165" s="12"/>
    </row>
    <row r="166" spans="5:10">
      <c r="E166" s="12"/>
      <c r="F166" s="12"/>
      <c r="G166" s="12"/>
      <c r="H166" s="12"/>
      <c r="I166" s="12"/>
      <c r="J166" s="12"/>
    </row>
    <row r="167" spans="5:10">
      <c r="E167" s="12"/>
      <c r="F167" s="12"/>
      <c r="G167" s="12"/>
      <c r="H167" s="12"/>
      <c r="I167" s="12"/>
      <c r="J167" s="12"/>
    </row>
    <row r="168" spans="5:10">
      <c r="E168" s="12"/>
      <c r="F168" s="12"/>
      <c r="G168" s="12"/>
      <c r="H168" s="12"/>
      <c r="I168" s="12"/>
      <c r="J168" s="12"/>
    </row>
    <row r="169" spans="5:10">
      <c r="E169" s="12"/>
      <c r="F169" s="12"/>
      <c r="G169" s="12"/>
      <c r="H169" s="12"/>
      <c r="I169" s="12"/>
      <c r="J169" s="12"/>
    </row>
    <row r="170" spans="5:10">
      <c r="E170" s="12"/>
      <c r="F170" s="12"/>
      <c r="G170" s="12"/>
      <c r="H170" s="12"/>
      <c r="I170" s="12"/>
      <c r="J170" s="12"/>
    </row>
    <row r="171" spans="5:10">
      <c r="E171" s="12"/>
      <c r="F171" s="12"/>
      <c r="G171" s="12"/>
      <c r="H171" s="12"/>
      <c r="I171" s="12"/>
      <c r="J171" s="12"/>
    </row>
    <row r="172" spans="5:10">
      <c r="E172" s="12"/>
      <c r="F172" s="12"/>
      <c r="G172" s="12"/>
      <c r="H172" s="12"/>
      <c r="I172" s="12"/>
      <c r="J172" s="12"/>
    </row>
    <row r="173" spans="5:10">
      <c r="E173" s="12"/>
      <c r="F173" s="12"/>
      <c r="G173" s="12"/>
      <c r="H173" s="12"/>
      <c r="I173" s="12"/>
      <c r="J173" s="12"/>
    </row>
    <row r="174" spans="5:10">
      <c r="E174" s="12"/>
      <c r="F174" s="12"/>
      <c r="G174" s="12"/>
      <c r="H174" s="12"/>
      <c r="I174" s="12"/>
      <c r="J174" s="12"/>
    </row>
    <row r="175" spans="5:10">
      <c r="E175" s="12"/>
      <c r="F175" s="12"/>
      <c r="G175" s="12"/>
      <c r="H175" s="12"/>
      <c r="I175" s="12"/>
      <c r="J175" s="12"/>
    </row>
    <row r="176" spans="5:10">
      <c r="E176" s="12"/>
      <c r="F176" s="12"/>
      <c r="G176" s="12"/>
      <c r="H176" s="12"/>
      <c r="I176" s="12"/>
      <c r="J176" s="12"/>
    </row>
    <row r="177" spans="5:10">
      <c r="E177" s="12"/>
      <c r="F177" s="12"/>
      <c r="G177" s="12"/>
      <c r="H177" s="12"/>
      <c r="I177" s="12"/>
      <c r="J177" s="12"/>
    </row>
    <row r="178" spans="5:10">
      <c r="E178" s="12"/>
      <c r="F178" s="12"/>
      <c r="G178" s="12"/>
      <c r="H178" s="12"/>
      <c r="I178" s="12"/>
      <c r="J178" s="12"/>
    </row>
    <row r="179" spans="5:10">
      <c r="E179" s="12"/>
      <c r="F179" s="12"/>
      <c r="G179" s="12"/>
      <c r="H179" s="12"/>
      <c r="I179" s="12"/>
      <c r="J179" s="12"/>
    </row>
    <row r="180" spans="5:10">
      <c r="E180" s="12"/>
      <c r="F180" s="12"/>
      <c r="G180" s="12"/>
      <c r="H180" s="12"/>
      <c r="I180" s="12"/>
      <c r="J180" s="12"/>
    </row>
    <row r="181" spans="5:10">
      <c r="E181" s="12"/>
      <c r="F181" s="12"/>
      <c r="G181" s="12"/>
      <c r="H181" s="12"/>
      <c r="I181" s="12"/>
      <c r="J181" s="12"/>
    </row>
    <row r="182" spans="5:10">
      <c r="E182" s="12"/>
      <c r="F182" s="12"/>
      <c r="G182" s="12"/>
      <c r="H182" s="12"/>
      <c r="I182" s="12"/>
      <c r="J182" s="12"/>
    </row>
    <row r="183" spans="5:10">
      <c r="E183" s="12"/>
      <c r="F183" s="12"/>
      <c r="G183" s="12"/>
      <c r="H183" s="12"/>
      <c r="I183" s="12"/>
      <c r="J183" s="12"/>
    </row>
    <row r="184" spans="5:10">
      <c r="E184" s="12"/>
      <c r="F184" s="12"/>
      <c r="G184" s="12"/>
      <c r="H184" s="12"/>
      <c r="I184" s="12"/>
      <c r="J184" s="12"/>
    </row>
    <row r="185" spans="5:10">
      <c r="E185" s="12"/>
      <c r="F185" s="12"/>
      <c r="G185" s="12"/>
      <c r="H185" s="12"/>
      <c r="I185" s="12"/>
      <c r="J185" s="12"/>
    </row>
    <row r="186" spans="5:10">
      <c r="E186" s="12"/>
      <c r="F186" s="12"/>
      <c r="G186" s="12"/>
      <c r="H186" s="12"/>
      <c r="I186" s="12"/>
      <c r="J186" s="12"/>
    </row>
    <row r="187" spans="5:10">
      <c r="E187" s="12"/>
      <c r="F187" s="12"/>
      <c r="G187" s="12"/>
      <c r="H187" s="12"/>
      <c r="I187" s="12"/>
      <c r="J187" s="12"/>
    </row>
    <row r="188" spans="5:10">
      <c r="E188" s="12"/>
      <c r="F188" s="12"/>
      <c r="G188" s="12"/>
      <c r="H188" s="12"/>
      <c r="I188" s="12"/>
      <c r="J188" s="12"/>
    </row>
    <row r="189" spans="5:10">
      <c r="E189" s="12"/>
      <c r="F189" s="12"/>
      <c r="G189" s="12"/>
      <c r="H189" s="12"/>
      <c r="I189" s="12"/>
      <c r="J189" s="12"/>
    </row>
    <row r="190" spans="5:10">
      <c r="E190" s="12"/>
      <c r="F190" s="12"/>
      <c r="G190" s="12"/>
      <c r="H190" s="12"/>
      <c r="I190" s="12"/>
      <c r="J190" s="12"/>
    </row>
    <row r="191" spans="5:10">
      <c r="E191" s="12"/>
      <c r="F191" s="12"/>
      <c r="G191" s="12"/>
      <c r="H191" s="12"/>
      <c r="I191" s="12"/>
      <c r="J191" s="12"/>
    </row>
    <row r="192" spans="5:10">
      <c r="E192" s="12"/>
      <c r="F192" s="12"/>
      <c r="G192" s="12"/>
      <c r="H192" s="12"/>
      <c r="I192" s="12"/>
      <c r="J192" s="12"/>
    </row>
    <row r="193" spans="5:10">
      <c r="E193" s="12"/>
      <c r="F193" s="12"/>
      <c r="G193" s="12"/>
      <c r="H193" s="12"/>
      <c r="I193" s="12"/>
      <c r="J193" s="12"/>
    </row>
    <row r="194" spans="5:10">
      <c r="E194" s="12"/>
      <c r="F194" s="12"/>
      <c r="G194" s="12"/>
      <c r="H194" s="12"/>
      <c r="I194" s="12"/>
      <c r="J194" s="12"/>
    </row>
    <row r="195" spans="5:10">
      <c r="E195" s="12"/>
      <c r="F195" s="12"/>
      <c r="G195" s="12"/>
      <c r="H195" s="12"/>
      <c r="I195" s="12"/>
      <c r="J195" s="12"/>
    </row>
    <row r="196" spans="5:10">
      <c r="E196" s="12"/>
      <c r="F196" s="12"/>
      <c r="G196" s="12"/>
      <c r="H196" s="12"/>
      <c r="I196" s="12"/>
      <c r="J196" s="12"/>
    </row>
    <row r="197" spans="5:10">
      <c r="E197" s="12"/>
      <c r="F197" s="12"/>
      <c r="G197" s="12"/>
      <c r="H197" s="12"/>
      <c r="I197" s="12"/>
      <c r="J197" s="12"/>
    </row>
    <row r="198" spans="5:10">
      <c r="E198" s="12"/>
      <c r="F198" s="12"/>
      <c r="G198" s="12"/>
      <c r="H198" s="12"/>
      <c r="I198" s="12"/>
      <c r="J198" s="12"/>
    </row>
    <row r="199" spans="5:10">
      <c r="E199" s="12"/>
      <c r="F199" s="12"/>
      <c r="G199" s="12"/>
      <c r="H199" s="12"/>
      <c r="I199" s="12"/>
      <c r="J199" s="12"/>
    </row>
    <row r="200" spans="5:10">
      <c r="E200" s="12"/>
      <c r="F200" s="12"/>
      <c r="G200" s="12"/>
      <c r="H200" s="12"/>
      <c r="I200" s="12"/>
      <c r="J200" s="12"/>
    </row>
    <row r="201" spans="5:10">
      <c r="E201" s="12"/>
      <c r="F201" s="12"/>
      <c r="G201" s="12"/>
      <c r="H201" s="12"/>
      <c r="I201" s="12"/>
      <c r="J201" s="12"/>
    </row>
    <row r="202" spans="5:10">
      <c r="E202" s="12"/>
      <c r="F202" s="12"/>
      <c r="G202" s="12"/>
      <c r="H202" s="12"/>
      <c r="I202" s="12"/>
      <c r="J202" s="12"/>
    </row>
    <row r="203" spans="5:10">
      <c r="E203" s="12"/>
      <c r="F203" s="12"/>
      <c r="G203" s="12"/>
      <c r="H203" s="12"/>
      <c r="I203" s="12"/>
      <c r="J203" s="12"/>
    </row>
    <row r="204" spans="5:10">
      <c r="E204" s="12"/>
      <c r="F204" s="12"/>
      <c r="G204" s="12"/>
      <c r="H204" s="12"/>
      <c r="I204" s="12"/>
      <c r="J204" s="12"/>
    </row>
    <row r="205" spans="5:10">
      <c r="E205" s="12"/>
      <c r="F205" s="12"/>
      <c r="G205" s="12"/>
      <c r="H205" s="12"/>
      <c r="I205" s="12"/>
      <c r="J205" s="12"/>
    </row>
    <row r="206" spans="5:10">
      <c r="E206" s="12"/>
      <c r="F206" s="12"/>
      <c r="G206" s="12"/>
      <c r="H206" s="12"/>
      <c r="I206" s="12"/>
      <c r="J206" s="12"/>
    </row>
    <row r="207" spans="5:10">
      <c r="E207" s="12"/>
      <c r="F207" s="12"/>
      <c r="G207" s="12"/>
      <c r="H207" s="12"/>
      <c r="I207" s="12"/>
      <c r="J207" s="12"/>
    </row>
    <row r="208" spans="5:10">
      <c r="E208" s="12"/>
      <c r="F208" s="12"/>
      <c r="G208" s="12"/>
      <c r="H208" s="12"/>
      <c r="I208" s="12"/>
      <c r="J208" s="12"/>
    </row>
    <row r="209" spans="5:10">
      <c r="E209" s="12"/>
      <c r="F209" s="12"/>
      <c r="G209" s="12"/>
      <c r="H209" s="12"/>
      <c r="I209" s="12"/>
      <c r="J209" s="12"/>
    </row>
    <row r="210" spans="5:10">
      <c r="E210" s="12"/>
      <c r="F210" s="12"/>
      <c r="G210" s="12"/>
      <c r="H210" s="12"/>
      <c r="I210" s="12"/>
      <c r="J210" s="12"/>
    </row>
    <row r="211" spans="5:10">
      <c r="E211" s="12"/>
      <c r="F211" s="12"/>
      <c r="G211" s="12"/>
      <c r="H211" s="12"/>
      <c r="I211" s="12"/>
      <c r="J211" s="12"/>
    </row>
    <row r="212" spans="5:10">
      <c r="E212" s="12"/>
      <c r="F212" s="12"/>
      <c r="G212" s="12"/>
      <c r="H212" s="12"/>
      <c r="I212" s="12"/>
      <c r="J212" s="12"/>
    </row>
    <row r="213" spans="5:10">
      <c r="E213" s="12"/>
      <c r="F213" s="12"/>
      <c r="G213" s="12"/>
      <c r="H213" s="12"/>
      <c r="I213" s="12"/>
      <c r="J213" s="12"/>
    </row>
    <row r="214" spans="5:10">
      <c r="E214" s="12"/>
      <c r="F214" s="12"/>
      <c r="G214" s="12"/>
      <c r="H214" s="12"/>
      <c r="I214" s="12"/>
      <c r="J214" s="12"/>
    </row>
    <row r="215" spans="5:10">
      <c r="E215" s="12"/>
      <c r="F215" s="12"/>
      <c r="G215" s="12"/>
      <c r="H215" s="12"/>
      <c r="I215" s="12"/>
      <c r="J215" s="12"/>
    </row>
    <row r="216" spans="5:10">
      <c r="E216" s="12"/>
      <c r="F216" s="12"/>
      <c r="G216" s="12"/>
      <c r="H216" s="12"/>
      <c r="I216" s="12"/>
      <c r="J216" s="12"/>
    </row>
    <row r="217" spans="5:10">
      <c r="E217" s="12"/>
      <c r="F217" s="12"/>
      <c r="G217" s="12"/>
      <c r="H217" s="12"/>
      <c r="I217" s="12"/>
      <c r="J217" s="12"/>
    </row>
    <row r="218" spans="5:10">
      <c r="E218" s="12"/>
      <c r="F218" s="12"/>
      <c r="G218" s="12"/>
      <c r="H218" s="12"/>
      <c r="I218" s="12"/>
      <c r="J218" s="12"/>
    </row>
    <row r="219" spans="5:10">
      <c r="E219" s="12"/>
      <c r="F219" s="12"/>
      <c r="G219" s="12"/>
      <c r="H219" s="12"/>
      <c r="I219" s="12"/>
      <c r="J219" s="12"/>
    </row>
    <row r="220" spans="5:10">
      <c r="E220" s="12"/>
      <c r="F220" s="12"/>
      <c r="G220" s="12"/>
      <c r="H220" s="12"/>
      <c r="I220" s="12"/>
      <c r="J220" s="12"/>
    </row>
    <row r="221" spans="5:10">
      <c r="E221" s="12"/>
      <c r="F221" s="12"/>
      <c r="G221" s="12"/>
      <c r="H221" s="12"/>
      <c r="I221" s="12"/>
      <c r="J221" s="12"/>
    </row>
    <row r="222" spans="5:10">
      <c r="E222" s="12"/>
      <c r="F222" s="12"/>
      <c r="G222" s="12"/>
      <c r="H222" s="12"/>
      <c r="I222" s="12"/>
      <c r="J222" s="12"/>
    </row>
    <row r="223" spans="5:10">
      <c r="E223" s="12"/>
      <c r="F223" s="12"/>
      <c r="G223" s="12"/>
      <c r="H223" s="12"/>
      <c r="I223" s="12"/>
      <c r="J223" s="12"/>
    </row>
    <row r="224" spans="5:10">
      <c r="E224" s="12"/>
      <c r="F224" s="12"/>
      <c r="G224" s="12"/>
      <c r="H224" s="12"/>
      <c r="I224" s="12"/>
      <c r="J224" s="12"/>
    </row>
    <row r="225" spans="5:10">
      <c r="E225" s="12"/>
      <c r="F225" s="12"/>
      <c r="G225" s="12"/>
      <c r="H225" s="12"/>
      <c r="I225" s="12"/>
      <c r="J225" s="12"/>
    </row>
    <row r="226" spans="5:10">
      <c r="E226" s="12"/>
      <c r="F226" s="12"/>
      <c r="G226" s="12"/>
      <c r="H226" s="12"/>
      <c r="I226" s="12"/>
      <c r="J226" s="12"/>
    </row>
    <row r="227" spans="5:10">
      <c r="E227" s="12"/>
      <c r="F227" s="12"/>
      <c r="G227" s="12"/>
      <c r="H227" s="12"/>
      <c r="I227" s="12"/>
      <c r="J227" s="12"/>
    </row>
    <row r="228" spans="5:10">
      <c r="E228" s="12"/>
      <c r="F228" s="12"/>
      <c r="G228" s="12"/>
      <c r="H228" s="12"/>
      <c r="I228" s="12"/>
      <c r="J228" s="12"/>
    </row>
    <row r="229" spans="5:10">
      <c r="E229" s="12"/>
      <c r="F229" s="12"/>
      <c r="G229" s="12"/>
      <c r="H229" s="12"/>
      <c r="I229" s="12"/>
      <c r="J229" s="12"/>
    </row>
    <row r="230" spans="5:10">
      <c r="E230" s="12"/>
      <c r="F230" s="12"/>
      <c r="G230" s="12"/>
      <c r="H230" s="12"/>
      <c r="I230" s="12"/>
      <c r="J230" s="12"/>
    </row>
    <row r="231" spans="5:10">
      <c r="E231" s="12"/>
      <c r="F231" s="12"/>
      <c r="G231" s="12"/>
      <c r="H231" s="12"/>
      <c r="I231" s="12"/>
      <c r="J231" s="12"/>
    </row>
    <row r="232" spans="5:10">
      <c r="E232" s="12"/>
      <c r="F232" s="12"/>
      <c r="G232" s="12"/>
      <c r="H232" s="12"/>
      <c r="I232" s="12"/>
      <c r="J232" s="12"/>
    </row>
    <row r="233" spans="5:10">
      <c r="E233" s="12"/>
      <c r="F233" s="12"/>
      <c r="G233" s="12"/>
      <c r="H233" s="12"/>
      <c r="I233" s="12"/>
      <c r="J233" s="12"/>
    </row>
    <row r="234" spans="5:10">
      <c r="E234" s="12"/>
      <c r="F234" s="12"/>
      <c r="G234" s="12"/>
      <c r="H234" s="12"/>
      <c r="I234" s="12"/>
      <c r="J234" s="12"/>
    </row>
    <row r="235" spans="5:10">
      <c r="E235" s="12"/>
      <c r="F235" s="12"/>
      <c r="G235" s="12"/>
      <c r="H235" s="12"/>
      <c r="I235" s="12"/>
      <c r="J235" s="12"/>
    </row>
    <row r="236" spans="5:10">
      <c r="E236" s="12"/>
      <c r="F236" s="12"/>
      <c r="G236" s="12"/>
      <c r="H236" s="12"/>
      <c r="I236" s="12"/>
      <c r="J236" s="12"/>
    </row>
    <row r="237" spans="5:10">
      <c r="E237" s="12"/>
      <c r="F237" s="12"/>
      <c r="G237" s="12"/>
      <c r="H237" s="12"/>
      <c r="I237" s="12"/>
      <c r="J237" s="12"/>
    </row>
    <row r="238" spans="5:10">
      <c r="E238" s="12"/>
      <c r="F238" s="12"/>
      <c r="G238" s="12"/>
      <c r="H238" s="12"/>
      <c r="I238" s="12"/>
      <c r="J238" s="12"/>
    </row>
    <row r="239" spans="5:10">
      <c r="E239" s="12"/>
      <c r="F239" s="12"/>
      <c r="G239" s="12"/>
      <c r="H239" s="12"/>
      <c r="I239" s="12"/>
      <c r="J239" s="12"/>
    </row>
    <row r="240" spans="5:10">
      <c r="E240" s="12"/>
      <c r="F240" s="12"/>
      <c r="G240" s="12"/>
      <c r="H240" s="12"/>
      <c r="I240" s="12"/>
      <c r="J240" s="12"/>
    </row>
    <row r="241" spans="5:10">
      <c r="E241" s="12"/>
      <c r="F241" s="12"/>
      <c r="G241" s="12"/>
      <c r="H241" s="12"/>
      <c r="I241" s="12"/>
      <c r="J241" s="12"/>
    </row>
    <row r="242" spans="5:10">
      <c r="E242" s="12"/>
      <c r="F242" s="12"/>
      <c r="G242" s="12"/>
      <c r="H242" s="12"/>
      <c r="I242" s="12"/>
      <c r="J242" s="12"/>
    </row>
    <row r="243" spans="5:10">
      <c r="E243" s="12"/>
      <c r="F243" s="12"/>
      <c r="G243" s="12"/>
      <c r="H243" s="12"/>
      <c r="I243" s="12"/>
      <c r="J243" s="12"/>
    </row>
    <row r="244" spans="5:10">
      <c r="E244" s="12"/>
      <c r="F244" s="12"/>
      <c r="G244" s="12"/>
      <c r="H244" s="12"/>
      <c r="I244" s="12"/>
      <c r="J244" s="12"/>
    </row>
    <row r="245" spans="5:10">
      <c r="E245" s="12"/>
      <c r="F245" s="12"/>
      <c r="G245" s="12"/>
      <c r="H245" s="12"/>
      <c r="I245" s="12"/>
      <c r="J245" s="12"/>
    </row>
    <row r="246" spans="5:10">
      <c r="E246" s="12"/>
      <c r="F246" s="12"/>
      <c r="G246" s="12"/>
      <c r="H246" s="12"/>
      <c r="I246" s="12"/>
      <c r="J246" s="12"/>
    </row>
    <row r="247" spans="5:10">
      <c r="E247" s="12"/>
      <c r="F247" s="12"/>
      <c r="G247" s="12"/>
      <c r="H247" s="12"/>
      <c r="I247" s="12"/>
      <c r="J247" s="12"/>
    </row>
    <row r="248" spans="5:10">
      <c r="E248" s="12"/>
      <c r="F248" s="12"/>
      <c r="G248" s="12"/>
      <c r="H248" s="12"/>
      <c r="I248" s="12"/>
      <c r="J248" s="12"/>
    </row>
    <row r="249" spans="5:10">
      <c r="E249" s="12"/>
      <c r="F249" s="12"/>
      <c r="G249" s="12"/>
      <c r="H249" s="12"/>
      <c r="I249" s="12"/>
      <c r="J249" s="12"/>
    </row>
    <row r="250" spans="5:10">
      <c r="E250" s="12"/>
      <c r="F250" s="12"/>
      <c r="G250" s="12"/>
      <c r="H250" s="12"/>
      <c r="I250" s="12"/>
      <c r="J250" s="12"/>
    </row>
    <row r="251" spans="5:10">
      <c r="E251" s="12"/>
      <c r="F251" s="12"/>
      <c r="G251" s="12"/>
      <c r="H251" s="12"/>
      <c r="I251" s="12"/>
      <c r="J251" s="12"/>
    </row>
    <row r="252" spans="5:10">
      <c r="E252" s="12"/>
      <c r="F252" s="12"/>
      <c r="G252" s="12"/>
      <c r="H252" s="12"/>
      <c r="I252" s="12"/>
      <c r="J252" s="12"/>
    </row>
    <row r="253" spans="5:10">
      <c r="E253" s="12"/>
      <c r="F253" s="12"/>
      <c r="G253" s="12"/>
      <c r="H253" s="12"/>
      <c r="I253" s="12"/>
      <c r="J253" s="12"/>
    </row>
    <row r="254" spans="5:10">
      <c r="E254" s="12"/>
      <c r="F254" s="12"/>
      <c r="G254" s="12"/>
      <c r="H254" s="12"/>
      <c r="I254" s="12"/>
      <c r="J254" s="12"/>
    </row>
    <row r="255" spans="5:10">
      <c r="E255" s="12"/>
      <c r="F255" s="12"/>
      <c r="G255" s="12"/>
      <c r="H255" s="12"/>
      <c r="I255" s="12"/>
      <c r="J255" s="12"/>
    </row>
  </sheetData>
  <phoneticPr fontId="11"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sheetPr>
  <dimension ref="B2:AK56"/>
  <sheetViews>
    <sheetView zoomScale="69" zoomScaleNormal="69" workbookViewId="0">
      <selection activeCell="B45" sqref="B45"/>
    </sheetView>
  </sheetViews>
  <sheetFormatPr defaultColWidth="9" defaultRowHeight="13.8"/>
  <cols>
    <col min="2" max="2" width="56" bestFit="1" customWidth="1"/>
    <col min="3" max="3" width="17.33203125" customWidth="1"/>
    <col min="4" max="4" width="12.33203125" bestFit="1" customWidth="1"/>
    <col min="5" max="5" width="10.44140625" bestFit="1" customWidth="1"/>
    <col min="6" max="6" width="11.44140625" bestFit="1" customWidth="1"/>
    <col min="7" max="7" width="12.33203125" bestFit="1" customWidth="1"/>
    <col min="8" max="8" width="10.44140625" bestFit="1" customWidth="1"/>
    <col min="9" max="9" width="11.44140625" bestFit="1" customWidth="1"/>
    <col min="10" max="10" width="12.33203125" bestFit="1" customWidth="1"/>
    <col min="11" max="11" width="10.44140625" bestFit="1" customWidth="1"/>
  </cols>
  <sheetData>
    <row r="2" spans="2:37" ht="14.4">
      <c r="B2" s="22" t="s">
        <v>86</v>
      </c>
      <c r="C2" s="22"/>
      <c r="D2" s="22"/>
      <c r="E2" s="22"/>
      <c r="F2" s="22"/>
      <c r="G2" s="22"/>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2:37">
      <c r="B3" t="s">
        <v>59</v>
      </c>
    </row>
    <row r="4" spans="2:37" ht="15" thickBot="1">
      <c r="C4" s="54" t="s">
        <v>58</v>
      </c>
      <c r="D4" s="102">
        <v>2019</v>
      </c>
      <c r="E4" s="54">
        <v>2020</v>
      </c>
      <c r="F4" s="54">
        <v>2021</v>
      </c>
      <c r="G4" s="54">
        <v>2022</v>
      </c>
      <c r="H4" s="54">
        <v>2023</v>
      </c>
      <c r="I4" s="54">
        <f t="shared" ref="I4" si="0">H4+1</f>
        <v>2024</v>
      </c>
      <c r="J4" s="54">
        <f t="shared" ref="J4" si="1">I4+1</f>
        <v>2025</v>
      </c>
      <c r="K4" s="54">
        <f t="shared" ref="K4" si="2">J4+1</f>
        <v>2026</v>
      </c>
      <c r="L4" s="54">
        <f t="shared" ref="L4" si="3">K4+1</f>
        <v>2027</v>
      </c>
      <c r="M4" s="54">
        <f t="shared" ref="M4" si="4">L4+1</f>
        <v>2028</v>
      </c>
      <c r="N4" s="54">
        <f t="shared" ref="N4" si="5">M4+1</f>
        <v>2029</v>
      </c>
      <c r="O4" s="54">
        <f t="shared" ref="O4" si="6">N4+1</f>
        <v>2030</v>
      </c>
      <c r="P4" s="54">
        <f t="shared" ref="P4" si="7">O4+1</f>
        <v>2031</v>
      </c>
      <c r="Q4" s="54">
        <f t="shared" ref="Q4" si="8">P4+1</f>
        <v>2032</v>
      </c>
      <c r="R4" s="54">
        <f t="shared" ref="R4" si="9">Q4+1</f>
        <v>2033</v>
      </c>
      <c r="S4" s="54">
        <f t="shared" ref="S4" si="10">R4+1</f>
        <v>2034</v>
      </c>
      <c r="T4" s="54">
        <f t="shared" ref="T4" si="11">S4+1</f>
        <v>2035</v>
      </c>
      <c r="U4" s="54">
        <f t="shared" ref="U4" si="12">T4+1</f>
        <v>2036</v>
      </c>
      <c r="V4" s="54">
        <f t="shared" ref="V4" si="13">U4+1</f>
        <v>2037</v>
      </c>
      <c r="W4" s="54">
        <f t="shared" ref="W4" si="14">V4+1</f>
        <v>2038</v>
      </c>
      <c r="X4" s="54">
        <f t="shared" ref="X4" si="15">W4+1</f>
        <v>2039</v>
      </c>
      <c r="Y4" s="54">
        <f t="shared" ref="Y4" si="16">X4+1</f>
        <v>2040</v>
      </c>
      <c r="Z4" s="54">
        <f t="shared" ref="Z4" si="17">Y4+1</f>
        <v>2041</v>
      </c>
      <c r="AA4" s="54">
        <f t="shared" ref="AA4" si="18">Z4+1</f>
        <v>2042</v>
      </c>
      <c r="AB4" s="54">
        <f t="shared" ref="AB4" si="19">AA4+1</f>
        <v>2043</v>
      </c>
      <c r="AC4" s="54">
        <f t="shared" ref="AC4" si="20">AB4+1</f>
        <v>2044</v>
      </c>
      <c r="AD4" s="54">
        <f t="shared" ref="AD4" si="21">AC4+1</f>
        <v>2045</v>
      </c>
      <c r="AE4" s="54">
        <f t="shared" ref="AE4" si="22">AD4+1</f>
        <v>2046</v>
      </c>
      <c r="AF4" s="54">
        <f t="shared" ref="AF4" si="23">AE4+1</f>
        <v>2047</v>
      </c>
      <c r="AG4" s="54">
        <f t="shared" ref="AG4" si="24">AF4+1</f>
        <v>2048</v>
      </c>
      <c r="AH4" s="54">
        <f t="shared" ref="AH4" si="25">AG4+1</f>
        <v>2049</v>
      </c>
      <c r="AI4" s="54">
        <v>2050</v>
      </c>
      <c r="AJ4" s="54">
        <v>2051</v>
      </c>
      <c r="AK4" s="54">
        <v>2052</v>
      </c>
    </row>
    <row r="5" spans="2:37" ht="14.4">
      <c r="B5" s="265" t="s">
        <v>1</v>
      </c>
      <c r="C5" s="135" t="s">
        <v>3</v>
      </c>
      <c r="D5" s="136">
        <v>0.21189338361112339</v>
      </c>
      <c r="E5" s="136">
        <v>0.21654734197308792</v>
      </c>
      <c r="F5" s="136">
        <v>0.22130351838483658</v>
      </c>
      <c r="G5" s="136">
        <v>0.22616415793085218</v>
      </c>
      <c r="H5" s="136">
        <v>0.23113155500593338</v>
      </c>
      <c r="I5" s="137">
        <f>TREND($D5:$H5,$D$4:$H$4,I$4)</f>
        <v>0.23583593900538169</v>
      </c>
      <c r="J5" s="137">
        <f t="shared" ref="J5:AK13" si="26">TREND($D5:$H5,$D$4:$H$4,J$4)</f>
        <v>0.24064525488011945</v>
      </c>
      <c r="K5" s="137">
        <f>TREND($D5:$H5,$D$4:$H$4,K$4)</f>
        <v>0.24545457075485899</v>
      </c>
      <c r="L5" s="137">
        <f t="shared" si="26"/>
        <v>0.25026388662959675</v>
      </c>
      <c r="M5" s="137">
        <f t="shared" si="26"/>
        <v>0.25507320250433629</v>
      </c>
      <c r="N5" s="137">
        <f t="shared" si="26"/>
        <v>0.25988251837907406</v>
      </c>
      <c r="O5" s="137">
        <f t="shared" si="26"/>
        <v>0.26469183425381182</v>
      </c>
      <c r="P5" s="137">
        <f t="shared" si="26"/>
        <v>0.26950115012855136</v>
      </c>
      <c r="Q5" s="137">
        <f t="shared" si="26"/>
        <v>0.27431046600328912</v>
      </c>
      <c r="R5" s="137">
        <f t="shared" si="26"/>
        <v>0.27911978187802688</v>
      </c>
      <c r="S5" s="137">
        <f t="shared" si="26"/>
        <v>0.28392909775276642</v>
      </c>
      <c r="T5" s="137">
        <f t="shared" si="26"/>
        <v>0.28873841362750419</v>
      </c>
      <c r="U5" s="137">
        <f t="shared" si="26"/>
        <v>0.29354772950224373</v>
      </c>
      <c r="V5" s="137">
        <f t="shared" si="26"/>
        <v>0.29835704537698149</v>
      </c>
      <c r="W5" s="137">
        <f t="shared" si="26"/>
        <v>0.30316636125171925</v>
      </c>
      <c r="X5" s="137">
        <f t="shared" si="26"/>
        <v>0.30797567712645879</v>
      </c>
      <c r="Y5" s="137">
        <f t="shared" si="26"/>
        <v>0.31278499300119655</v>
      </c>
      <c r="Z5" s="137">
        <f t="shared" si="26"/>
        <v>0.31759430887593432</v>
      </c>
      <c r="AA5" s="137">
        <f t="shared" si="26"/>
        <v>0.32240362475067386</v>
      </c>
      <c r="AB5" s="137">
        <f t="shared" si="26"/>
        <v>0.32721294062541162</v>
      </c>
      <c r="AC5" s="137">
        <f t="shared" si="26"/>
        <v>0.33202225650015116</v>
      </c>
      <c r="AD5" s="137">
        <f t="shared" si="26"/>
        <v>0.33683157237488892</v>
      </c>
      <c r="AE5" s="137">
        <f t="shared" si="26"/>
        <v>0.34164088824962668</v>
      </c>
      <c r="AF5" s="137">
        <f t="shared" si="26"/>
        <v>0.34645020412436622</v>
      </c>
      <c r="AG5" s="137">
        <f t="shared" si="26"/>
        <v>0.35125951999910399</v>
      </c>
      <c r="AH5" s="137">
        <f t="shared" si="26"/>
        <v>0.35606883587384175</v>
      </c>
      <c r="AI5" s="137">
        <f>TREND($D5:$H5,$D$4:$H$4,AI$4)</f>
        <v>0.36087815174858129</v>
      </c>
      <c r="AJ5" s="137">
        <f>TREND($D5:$H5,$D$4:$H$4,AJ$4)</f>
        <v>0.36568746762331905</v>
      </c>
      <c r="AK5" s="138">
        <f>TREND($D5:$H5,$D$4:$H$4,AK$4)</f>
        <v>0.37049678349805681</v>
      </c>
    </row>
    <row r="6" spans="2:37" ht="14.4">
      <c r="B6" s="266"/>
      <c r="C6" s="125" t="s">
        <v>4</v>
      </c>
      <c r="D6" s="126">
        <v>0.16457979410707682</v>
      </c>
      <c r="E6" s="126">
        <v>0.1681945719540375</v>
      </c>
      <c r="F6" s="126">
        <v>0.17188874362302697</v>
      </c>
      <c r="G6" s="126">
        <v>0.17566405289450518</v>
      </c>
      <c r="H6" s="126">
        <v>0.17952228184876706</v>
      </c>
      <c r="I6" s="127">
        <f t="shared" ref="I6:X13" si="27">TREND($D6:$H6,$D$4:$H$4,I$4)</f>
        <v>0.18317622581263659</v>
      </c>
      <c r="J6" s="127">
        <f t="shared" si="27"/>
        <v>0.18691167145502163</v>
      </c>
      <c r="K6" s="127">
        <f t="shared" si="27"/>
        <v>0.19064711709740667</v>
      </c>
      <c r="L6" s="127">
        <f t="shared" si="27"/>
        <v>0.19438256273979082</v>
      </c>
      <c r="M6" s="127">
        <f t="shared" si="27"/>
        <v>0.19811800838217586</v>
      </c>
      <c r="N6" s="127">
        <f t="shared" si="27"/>
        <v>0.2018534540245609</v>
      </c>
      <c r="O6" s="127">
        <f t="shared" si="27"/>
        <v>0.20558889966694505</v>
      </c>
      <c r="P6" s="127">
        <f t="shared" si="27"/>
        <v>0.20932434530933008</v>
      </c>
      <c r="Q6" s="127">
        <f t="shared" si="27"/>
        <v>0.21305979095171512</v>
      </c>
      <c r="R6" s="127">
        <f t="shared" si="27"/>
        <v>0.21679523659410016</v>
      </c>
      <c r="S6" s="127">
        <f t="shared" si="27"/>
        <v>0.2205306822364852</v>
      </c>
      <c r="T6" s="127">
        <f t="shared" si="27"/>
        <v>0.22426612787886935</v>
      </c>
      <c r="U6" s="127">
        <f t="shared" si="27"/>
        <v>0.22800157352125439</v>
      </c>
      <c r="V6" s="127">
        <f t="shared" si="27"/>
        <v>0.23173701916363942</v>
      </c>
      <c r="W6" s="127">
        <f t="shared" si="27"/>
        <v>0.23547246480602357</v>
      </c>
      <c r="X6" s="127">
        <f t="shared" si="27"/>
        <v>0.23920791044840861</v>
      </c>
      <c r="Y6" s="127">
        <f t="shared" si="26"/>
        <v>0.24294335609079365</v>
      </c>
      <c r="Z6" s="127">
        <f t="shared" si="26"/>
        <v>0.24667880173317869</v>
      </c>
      <c r="AA6" s="127">
        <f t="shared" si="26"/>
        <v>0.25041424737556373</v>
      </c>
      <c r="AB6" s="127">
        <f t="shared" si="26"/>
        <v>0.25414969301794788</v>
      </c>
      <c r="AC6" s="127">
        <f t="shared" si="26"/>
        <v>0.25788513866033291</v>
      </c>
      <c r="AD6" s="127">
        <f t="shared" si="26"/>
        <v>0.26162058430271795</v>
      </c>
      <c r="AE6" s="127">
        <f t="shared" si="26"/>
        <v>0.2653560299451021</v>
      </c>
      <c r="AF6" s="127">
        <f t="shared" si="26"/>
        <v>0.26909147558748714</v>
      </c>
      <c r="AG6" s="127">
        <f t="shared" si="26"/>
        <v>0.27282692122987218</v>
      </c>
      <c r="AH6" s="127">
        <f t="shared" si="26"/>
        <v>0.27656236687225721</v>
      </c>
      <c r="AI6" s="127">
        <f t="shared" si="26"/>
        <v>0.28029781251464225</v>
      </c>
      <c r="AJ6" s="127">
        <f t="shared" si="26"/>
        <v>0.2840332581570264</v>
      </c>
      <c r="AK6" s="139">
        <f t="shared" si="26"/>
        <v>0.28776870379941144</v>
      </c>
    </row>
    <row r="7" spans="2:37" ht="15" thickBot="1">
      <c r="B7" s="267"/>
      <c r="C7" s="140" t="s">
        <v>25</v>
      </c>
      <c r="D7" s="141">
        <v>0.19757886166454894</v>
      </c>
      <c r="E7" s="141">
        <v>0.20191842045454264</v>
      </c>
      <c r="F7" s="141">
        <v>0.20635329192289251</v>
      </c>
      <c r="G7" s="141">
        <v>0.21088556948671652</v>
      </c>
      <c r="H7" s="141">
        <v>0.21551739254227525</v>
      </c>
      <c r="I7" s="142">
        <f t="shared" si="27"/>
        <v>0.21990397045048304</v>
      </c>
      <c r="J7" s="142">
        <f t="shared" si="26"/>
        <v>0.22438839152924572</v>
      </c>
      <c r="K7" s="142">
        <f t="shared" si="26"/>
        <v>0.2288728126080084</v>
      </c>
      <c r="L7" s="142">
        <f t="shared" si="26"/>
        <v>0.23335723368677108</v>
      </c>
      <c r="M7" s="142">
        <f t="shared" si="26"/>
        <v>0.23784165476553376</v>
      </c>
      <c r="N7" s="142">
        <f t="shared" si="26"/>
        <v>0.24232607584429644</v>
      </c>
      <c r="O7" s="142">
        <f t="shared" si="26"/>
        <v>0.24681049692305912</v>
      </c>
      <c r="P7" s="142">
        <f t="shared" si="26"/>
        <v>0.2512949180018218</v>
      </c>
      <c r="Q7" s="142">
        <f t="shared" si="26"/>
        <v>0.25577933908058448</v>
      </c>
      <c r="R7" s="142">
        <f t="shared" si="26"/>
        <v>0.26026376015934716</v>
      </c>
      <c r="S7" s="142">
        <f t="shared" si="26"/>
        <v>0.26474818123810984</v>
      </c>
      <c r="T7" s="142">
        <f t="shared" si="26"/>
        <v>0.26923260231687252</v>
      </c>
      <c r="U7" s="142">
        <f t="shared" si="26"/>
        <v>0.2737170233956352</v>
      </c>
      <c r="V7" s="142">
        <f t="shared" si="26"/>
        <v>0.27820144447439787</v>
      </c>
      <c r="W7" s="142">
        <f t="shared" si="26"/>
        <v>0.28268586555316055</v>
      </c>
      <c r="X7" s="142">
        <f t="shared" si="26"/>
        <v>0.28717028663192323</v>
      </c>
      <c r="Y7" s="142">
        <f t="shared" si="26"/>
        <v>0.29165470771068591</v>
      </c>
      <c r="Z7" s="142">
        <f t="shared" si="26"/>
        <v>0.29613912878944859</v>
      </c>
      <c r="AA7" s="142">
        <f t="shared" si="26"/>
        <v>0.30062354986821127</v>
      </c>
      <c r="AB7" s="142">
        <f t="shared" si="26"/>
        <v>0.30510797094697395</v>
      </c>
      <c r="AC7" s="142">
        <f t="shared" si="26"/>
        <v>0.30959239202573663</v>
      </c>
      <c r="AD7" s="142">
        <f t="shared" si="26"/>
        <v>0.31407681310449931</v>
      </c>
      <c r="AE7" s="142">
        <f t="shared" si="26"/>
        <v>0.31856123418326199</v>
      </c>
      <c r="AF7" s="142">
        <f t="shared" si="26"/>
        <v>0.32304565526202467</v>
      </c>
      <c r="AG7" s="142">
        <f t="shared" si="26"/>
        <v>0.32753007634078735</v>
      </c>
      <c r="AH7" s="142">
        <f t="shared" si="26"/>
        <v>0.33201449741955003</v>
      </c>
      <c r="AI7" s="142">
        <f t="shared" si="26"/>
        <v>0.3364989184983127</v>
      </c>
      <c r="AJ7" s="142">
        <f t="shared" si="26"/>
        <v>0.34098333957707538</v>
      </c>
      <c r="AK7" s="143">
        <f t="shared" si="26"/>
        <v>0.34546776065583806</v>
      </c>
    </row>
    <row r="8" spans="2:37" ht="14.4">
      <c r="B8" s="265" t="s">
        <v>26</v>
      </c>
      <c r="C8" s="135" t="s">
        <v>3</v>
      </c>
      <c r="D8" s="136">
        <v>0.13241196662916035</v>
      </c>
      <c r="E8" s="136">
        <v>0.13522934832568692</v>
      </c>
      <c r="F8" s="136">
        <v>0.13810667656500708</v>
      </c>
      <c r="G8" s="136">
        <v>0.14104522685338164</v>
      </c>
      <c r="H8" s="136">
        <v>0.14404630183652173</v>
      </c>
      <c r="I8" s="137">
        <f t="shared" si="27"/>
        <v>0.14689326872467667</v>
      </c>
      <c r="J8" s="137">
        <f t="shared" si="26"/>
        <v>0.14980172361891864</v>
      </c>
      <c r="K8" s="137">
        <f t="shared" si="26"/>
        <v>0.15271017851315971</v>
      </c>
      <c r="L8" s="137">
        <f t="shared" si="26"/>
        <v>0.15561863340740167</v>
      </c>
      <c r="M8" s="137">
        <f t="shared" si="26"/>
        <v>0.15852708830164364</v>
      </c>
      <c r="N8" s="137">
        <f t="shared" si="26"/>
        <v>0.1614355431958856</v>
      </c>
      <c r="O8" s="137">
        <f t="shared" si="26"/>
        <v>0.16434399809012668</v>
      </c>
      <c r="P8" s="137">
        <f t="shared" si="26"/>
        <v>0.16725245298436864</v>
      </c>
      <c r="Q8" s="137">
        <f t="shared" si="26"/>
        <v>0.1701609078786106</v>
      </c>
      <c r="R8" s="137">
        <f t="shared" si="26"/>
        <v>0.17306936277285256</v>
      </c>
      <c r="S8" s="137">
        <f t="shared" si="26"/>
        <v>0.17597781766709364</v>
      </c>
      <c r="T8" s="137">
        <f t="shared" si="26"/>
        <v>0.1788862725613356</v>
      </c>
      <c r="U8" s="137">
        <f t="shared" si="26"/>
        <v>0.18179472745557756</v>
      </c>
      <c r="V8" s="137">
        <f t="shared" si="26"/>
        <v>0.18470318234981953</v>
      </c>
      <c r="W8" s="137">
        <f t="shared" si="26"/>
        <v>0.1876116372440606</v>
      </c>
      <c r="X8" s="137">
        <f t="shared" si="26"/>
        <v>0.19052009213830257</v>
      </c>
      <c r="Y8" s="137">
        <f t="shared" si="26"/>
        <v>0.19342854703254453</v>
      </c>
      <c r="Z8" s="137">
        <f t="shared" si="26"/>
        <v>0.19633700192678649</v>
      </c>
      <c r="AA8" s="137">
        <f t="shared" si="26"/>
        <v>0.19924545682102757</v>
      </c>
      <c r="AB8" s="137">
        <f t="shared" si="26"/>
        <v>0.20215391171526953</v>
      </c>
      <c r="AC8" s="137">
        <f t="shared" si="26"/>
        <v>0.20506236660951149</v>
      </c>
      <c r="AD8" s="137">
        <f t="shared" si="26"/>
        <v>0.20797082150375346</v>
      </c>
      <c r="AE8" s="137">
        <f t="shared" si="26"/>
        <v>0.21087927639799453</v>
      </c>
      <c r="AF8" s="137">
        <f t="shared" si="26"/>
        <v>0.21378773129223649</v>
      </c>
      <c r="AG8" s="137">
        <f t="shared" si="26"/>
        <v>0.21669618618647846</v>
      </c>
      <c r="AH8" s="137">
        <f t="shared" si="26"/>
        <v>0.21960464108072042</v>
      </c>
      <c r="AI8" s="137">
        <f t="shared" si="26"/>
        <v>0.22251309597496238</v>
      </c>
      <c r="AJ8" s="137">
        <f t="shared" si="26"/>
        <v>0.22542155086920346</v>
      </c>
      <c r="AK8" s="138">
        <f t="shared" si="26"/>
        <v>0.22833000576344542</v>
      </c>
    </row>
    <row r="9" spans="2:37" ht="14.4">
      <c r="B9" s="266"/>
      <c r="C9" s="125" t="s">
        <v>4</v>
      </c>
      <c r="D9" s="126">
        <v>7.4563474149327652E-2</v>
      </c>
      <c r="E9" s="126">
        <v>7.6149990630017705E-2</v>
      </c>
      <c r="F9" s="126">
        <v>7.7770264048299773E-2</v>
      </c>
      <c r="G9" s="126">
        <v>7.9425012663863814E-2</v>
      </c>
      <c r="H9" s="126">
        <v>8.1114970019094887E-2</v>
      </c>
      <c r="I9" s="127">
        <f t="shared" si="27"/>
        <v>8.2718146434134887E-2</v>
      </c>
      <c r="J9" s="127">
        <f t="shared" si="26"/>
        <v>8.4355947811473264E-2</v>
      </c>
      <c r="K9" s="127">
        <f t="shared" si="26"/>
        <v>8.5993749188811197E-2</v>
      </c>
      <c r="L9" s="127">
        <f t="shared" si="26"/>
        <v>8.763155056614913E-2</v>
      </c>
      <c r="M9" s="127">
        <f t="shared" si="26"/>
        <v>8.9269351943487063E-2</v>
      </c>
      <c r="N9" s="127">
        <f t="shared" si="26"/>
        <v>9.090715332082544E-2</v>
      </c>
      <c r="O9" s="127">
        <f t="shared" si="26"/>
        <v>9.2544954698163373E-2</v>
      </c>
      <c r="P9" s="127">
        <f t="shared" si="26"/>
        <v>9.4182756075501306E-2</v>
      </c>
      <c r="Q9" s="127">
        <f t="shared" si="26"/>
        <v>9.5820557452839683E-2</v>
      </c>
      <c r="R9" s="127">
        <f t="shared" si="26"/>
        <v>9.7458358830177616E-2</v>
      </c>
      <c r="S9" s="127">
        <f t="shared" si="26"/>
        <v>9.9096160207515549E-2</v>
      </c>
      <c r="T9" s="127">
        <f t="shared" si="26"/>
        <v>0.10073396158485348</v>
      </c>
      <c r="U9" s="127">
        <f t="shared" si="26"/>
        <v>0.10237176296219186</v>
      </c>
      <c r="V9" s="127">
        <f t="shared" si="26"/>
        <v>0.10400956433952979</v>
      </c>
      <c r="W9" s="127">
        <f t="shared" si="26"/>
        <v>0.10564736571686772</v>
      </c>
      <c r="X9" s="127">
        <f t="shared" si="26"/>
        <v>0.10728516709420566</v>
      </c>
      <c r="Y9" s="127">
        <f t="shared" si="26"/>
        <v>0.10892296847154403</v>
      </c>
      <c r="Z9" s="127">
        <f t="shared" si="26"/>
        <v>0.11056076984888197</v>
      </c>
      <c r="AA9" s="127">
        <f t="shared" si="26"/>
        <v>0.1121985712262199</v>
      </c>
      <c r="AB9" s="127">
        <f t="shared" si="26"/>
        <v>0.11383637260355828</v>
      </c>
      <c r="AC9" s="127">
        <f t="shared" si="26"/>
        <v>0.11547417398089621</v>
      </c>
      <c r="AD9" s="127">
        <f t="shared" si="26"/>
        <v>0.11711197535823414</v>
      </c>
      <c r="AE9" s="127">
        <f t="shared" si="26"/>
        <v>0.11874977673557208</v>
      </c>
      <c r="AF9" s="127">
        <f t="shared" si="26"/>
        <v>0.12038757811291045</v>
      </c>
      <c r="AG9" s="127">
        <f t="shared" si="26"/>
        <v>0.12202537949024839</v>
      </c>
      <c r="AH9" s="127">
        <f t="shared" si="26"/>
        <v>0.12366318086758632</v>
      </c>
      <c r="AI9" s="127">
        <f t="shared" si="26"/>
        <v>0.1253009822449247</v>
      </c>
      <c r="AJ9" s="127">
        <f t="shared" si="26"/>
        <v>0.12693878362226263</v>
      </c>
      <c r="AK9" s="139">
        <f t="shared" si="26"/>
        <v>0.12857658499960056</v>
      </c>
    </row>
    <row r="10" spans="2:37" ht="15" thickBot="1">
      <c r="B10" s="267"/>
      <c r="C10" s="140" t="s">
        <v>25</v>
      </c>
      <c r="D10" s="141">
        <v>0.1159015257330074</v>
      </c>
      <c r="E10" s="141">
        <v>0.1183676082594772</v>
      </c>
      <c r="F10" s="141">
        <v>0.12088616259758966</v>
      </c>
      <c r="G10" s="141">
        <v>0.12345830521079949</v>
      </c>
      <c r="H10" s="141">
        <v>0.12608517631799515</v>
      </c>
      <c r="I10" s="142">
        <f t="shared" si="27"/>
        <v>0.12857715506016376</v>
      </c>
      <c r="J10" s="142">
        <f t="shared" si="26"/>
        <v>0.13112295487229364</v>
      </c>
      <c r="K10" s="142">
        <f t="shared" si="26"/>
        <v>0.13366875468442263</v>
      </c>
      <c r="L10" s="142">
        <f t="shared" si="26"/>
        <v>0.13621455449655251</v>
      </c>
      <c r="M10" s="142">
        <f t="shared" si="26"/>
        <v>0.13876035430868239</v>
      </c>
      <c r="N10" s="142">
        <f t="shared" si="26"/>
        <v>0.14130615412081227</v>
      </c>
      <c r="O10" s="142">
        <f t="shared" si="26"/>
        <v>0.14385195393294214</v>
      </c>
      <c r="P10" s="142">
        <f t="shared" si="26"/>
        <v>0.14639775374507202</v>
      </c>
      <c r="Q10" s="142">
        <f t="shared" si="26"/>
        <v>0.1489435535572019</v>
      </c>
      <c r="R10" s="142">
        <f t="shared" si="26"/>
        <v>0.15148935336933178</v>
      </c>
      <c r="S10" s="142">
        <f t="shared" si="26"/>
        <v>0.15403515318146166</v>
      </c>
      <c r="T10" s="142">
        <f t="shared" si="26"/>
        <v>0.15658095299359065</v>
      </c>
      <c r="U10" s="142">
        <f t="shared" si="26"/>
        <v>0.15912675280572053</v>
      </c>
      <c r="V10" s="142">
        <f t="shared" si="26"/>
        <v>0.16167255261785041</v>
      </c>
      <c r="W10" s="142">
        <f t="shared" si="26"/>
        <v>0.16421835242998029</v>
      </c>
      <c r="X10" s="142">
        <f t="shared" si="26"/>
        <v>0.16676415224211016</v>
      </c>
      <c r="Y10" s="142">
        <f t="shared" si="26"/>
        <v>0.16930995205424004</v>
      </c>
      <c r="Z10" s="142">
        <f t="shared" si="26"/>
        <v>0.17185575186636992</v>
      </c>
      <c r="AA10" s="142">
        <f t="shared" si="26"/>
        <v>0.1744015516784998</v>
      </c>
      <c r="AB10" s="142">
        <f t="shared" si="26"/>
        <v>0.17694735149062968</v>
      </c>
      <c r="AC10" s="142">
        <f t="shared" si="26"/>
        <v>0.17949315130275867</v>
      </c>
      <c r="AD10" s="142">
        <f t="shared" si="26"/>
        <v>0.18203895111488855</v>
      </c>
      <c r="AE10" s="142">
        <f t="shared" si="26"/>
        <v>0.18458475092701843</v>
      </c>
      <c r="AF10" s="142">
        <f t="shared" si="26"/>
        <v>0.1871305507391483</v>
      </c>
      <c r="AG10" s="142">
        <f t="shared" si="26"/>
        <v>0.18967635055127818</v>
      </c>
      <c r="AH10" s="142">
        <f t="shared" si="26"/>
        <v>0.19222215036340806</v>
      </c>
      <c r="AI10" s="142">
        <f t="shared" si="26"/>
        <v>0.19476795017553794</v>
      </c>
      <c r="AJ10" s="142">
        <f t="shared" si="26"/>
        <v>0.19731374998766782</v>
      </c>
      <c r="AK10" s="143">
        <f t="shared" si="26"/>
        <v>0.1998595497997977</v>
      </c>
    </row>
    <row r="11" spans="2:37" ht="14.4">
      <c r="B11" s="265" t="s">
        <v>2</v>
      </c>
      <c r="C11" s="135" t="s">
        <v>3</v>
      </c>
      <c r="D11" s="136">
        <v>0.19544511700701281</v>
      </c>
      <c r="E11" s="136">
        <v>0.20005492652733178</v>
      </c>
      <c r="F11" s="136">
        <v>0.20477428278512561</v>
      </c>
      <c r="G11" s="136">
        <v>0.20960581015212848</v>
      </c>
      <c r="H11" s="136">
        <v>0.21455219641197207</v>
      </c>
      <c r="I11" s="137">
        <f t="shared" si="27"/>
        <v>0.21921597930712799</v>
      </c>
      <c r="J11" s="137">
        <f t="shared" si="26"/>
        <v>0.22399248355059953</v>
      </c>
      <c r="K11" s="137">
        <f t="shared" si="26"/>
        <v>0.22876898779407107</v>
      </c>
      <c r="L11" s="137">
        <f t="shared" si="26"/>
        <v>0.2335454920375426</v>
      </c>
      <c r="M11" s="137">
        <f t="shared" si="26"/>
        <v>0.23832199628101414</v>
      </c>
      <c r="N11" s="137">
        <f t="shared" si="26"/>
        <v>0.24309850052448567</v>
      </c>
      <c r="O11" s="137">
        <f t="shared" si="26"/>
        <v>0.24787500476795721</v>
      </c>
      <c r="P11" s="137">
        <f t="shared" si="26"/>
        <v>0.25265150901142874</v>
      </c>
      <c r="Q11" s="137">
        <f t="shared" si="26"/>
        <v>0.25742801325490028</v>
      </c>
      <c r="R11" s="137">
        <f t="shared" si="26"/>
        <v>0.26220451749837181</v>
      </c>
      <c r="S11" s="137">
        <f t="shared" si="26"/>
        <v>0.26698102174184335</v>
      </c>
      <c r="T11" s="137">
        <f t="shared" si="26"/>
        <v>0.27175752598531489</v>
      </c>
      <c r="U11" s="137">
        <f t="shared" si="26"/>
        <v>0.27653403022878642</v>
      </c>
      <c r="V11" s="137">
        <f t="shared" si="26"/>
        <v>0.28131053447225796</v>
      </c>
      <c r="W11" s="137">
        <f t="shared" si="26"/>
        <v>0.28608703871572949</v>
      </c>
      <c r="X11" s="137">
        <f t="shared" si="26"/>
        <v>0.29086354295920103</v>
      </c>
      <c r="Y11" s="137">
        <f t="shared" si="26"/>
        <v>0.29564004720267256</v>
      </c>
      <c r="Z11" s="137">
        <f t="shared" si="26"/>
        <v>0.3004165514461441</v>
      </c>
      <c r="AA11" s="137">
        <f t="shared" si="26"/>
        <v>0.30519305568961563</v>
      </c>
      <c r="AB11" s="137">
        <f t="shared" si="26"/>
        <v>0.30996955993308717</v>
      </c>
      <c r="AC11" s="137">
        <f t="shared" si="26"/>
        <v>0.3147460641765587</v>
      </c>
      <c r="AD11" s="137">
        <f t="shared" si="26"/>
        <v>0.31952256842003024</v>
      </c>
      <c r="AE11" s="137">
        <f t="shared" si="26"/>
        <v>0.32429907266350178</v>
      </c>
      <c r="AF11" s="137">
        <f t="shared" si="26"/>
        <v>0.32907557690697331</v>
      </c>
      <c r="AG11" s="137">
        <f t="shared" si="26"/>
        <v>0.33385208115044485</v>
      </c>
      <c r="AH11" s="137">
        <f t="shared" si="26"/>
        <v>0.33862858539391638</v>
      </c>
      <c r="AI11" s="137">
        <f t="shared" si="26"/>
        <v>0.34340508963738792</v>
      </c>
      <c r="AJ11" s="137">
        <f t="shared" si="26"/>
        <v>0.34818159388085945</v>
      </c>
      <c r="AK11" s="138">
        <f t="shared" si="26"/>
        <v>0.35295809812433099</v>
      </c>
    </row>
    <row r="12" spans="2:37" ht="14.4">
      <c r="B12" s="266"/>
      <c r="C12" s="125" t="s">
        <v>4</v>
      </c>
      <c r="D12" s="126">
        <v>0.11656925145757316</v>
      </c>
      <c r="E12" s="126">
        <v>0.11935186167546435</v>
      </c>
      <c r="F12" s="126">
        <v>0.12220145335929009</v>
      </c>
      <c r="G12" s="126">
        <v>0.12511965307549483</v>
      </c>
      <c r="H12" s="126">
        <v>0.12810812724933812</v>
      </c>
      <c r="I12" s="127">
        <f t="shared" si="27"/>
        <v>0.13092373225850018</v>
      </c>
      <c r="J12" s="127">
        <f t="shared" si="26"/>
        <v>0.13380828655685573</v>
      </c>
      <c r="K12" s="127">
        <f t="shared" si="26"/>
        <v>0.13669284085521216</v>
      </c>
      <c r="L12" s="127">
        <f t="shared" si="26"/>
        <v>0.13957739515356771</v>
      </c>
      <c r="M12" s="127">
        <f t="shared" si="26"/>
        <v>0.14246194945192414</v>
      </c>
      <c r="N12" s="127">
        <f t="shared" si="26"/>
        <v>0.14534650375027969</v>
      </c>
      <c r="O12" s="127">
        <f t="shared" si="26"/>
        <v>0.14823105804863612</v>
      </c>
      <c r="P12" s="127">
        <f t="shared" si="26"/>
        <v>0.15111561234699256</v>
      </c>
      <c r="Q12" s="127">
        <f t="shared" si="26"/>
        <v>0.1540001666453481</v>
      </c>
      <c r="R12" s="127">
        <f t="shared" si="26"/>
        <v>0.15688472094370454</v>
      </c>
      <c r="S12" s="127">
        <f t="shared" si="26"/>
        <v>0.15976927524206008</v>
      </c>
      <c r="T12" s="127">
        <f t="shared" si="26"/>
        <v>0.16265382954041652</v>
      </c>
      <c r="U12" s="127">
        <f t="shared" si="26"/>
        <v>0.16553838383877206</v>
      </c>
      <c r="V12" s="127">
        <f t="shared" si="26"/>
        <v>0.1684229381371285</v>
      </c>
      <c r="W12" s="127">
        <f t="shared" si="26"/>
        <v>0.17130749243548404</v>
      </c>
      <c r="X12" s="127">
        <f t="shared" si="26"/>
        <v>0.17419204673384048</v>
      </c>
      <c r="Y12" s="127">
        <f t="shared" si="26"/>
        <v>0.17707660103219691</v>
      </c>
      <c r="Z12" s="127">
        <f t="shared" si="26"/>
        <v>0.17996115533055246</v>
      </c>
      <c r="AA12" s="127">
        <f t="shared" si="26"/>
        <v>0.18284570962890889</v>
      </c>
      <c r="AB12" s="127">
        <f t="shared" si="26"/>
        <v>0.18573026392726444</v>
      </c>
      <c r="AC12" s="127">
        <f t="shared" si="26"/>
        <v>0.18861481822562087</v>
      </c>
      <c r="AD12" s="127">
        <f t="shared" si="26"/>
        <v>0.19149937252397642</v>
      </c>
      <c r="AE12" s="127">
        <f t="shared" si="26"/>
        <v>0.19438392682233285</v>
      </c>
      <c r="AF12" s="127">
        <f t="shared" si="26"/>
        <v>0.1972684811206884</v>
      </c>
      <c r="AG12" s="127">
        <f t="shared" si="26"/>
        <v>0.20015303541904483</v>
      </c>
      <c r="AH12" s="127">
        <f t="shared" si="26"/>
        <v>0.20303758971740127</v>
      </c>
      <c r="AI12" s="127">
        <f t="shared" si="26"/>
        <v>0.20592214401575681</v>
      </c>
      <c r="AJ12" s="127">
        <f t="shared" si="26"/>
        <v>0.20880669831411325</v>
      </c>
      <c r="AK12" s="139">
        <f t="shared" si="26"/>
        <v>0.21169125261246879</v>
      </c>
    </row>
    <row r="13" spans="2:37" ht="15" thickBot="1">
      <c r="B13" s="267"/>
      <c r="C13" s="140" t="s">
        <v>25</v>
      </c>
      <c r="D13" s="141">
        <v>0.16758220234230728</v>
      </c>
      <c r="E13" s="141">
        <v>0.17154655335786925</v>
      </c>
      <c r="F13" s="141">
        <v>0.17560541492055373</v>
      </c>
      <c r="G13" s="141">
        <v>0.17976105892718455</v>
      </c>
      <c r="H13" s="141">
        <v>0.18401581236635212</v>
      </c>
      <c r="I13" s="142">
        <f t="shared" si="27"/>
        <v>0.18802672606807391</v>
      </c>
      <c r="J13" s="142">
        <f t="shared" si="26"/>
        <v>0.19213489862981525</v>
      </c>
      <c r="K13" s="142">
        <f t="shared" si="26"/>
        <v>0.19624307119155482</v>
      </c>
      <c r="L13" s="142">
        <f t="shared" si="26"/>
        <v>0.20035124375329616</v>
      </c>
      <c r="M13" s="142">
        <f t="shared" si="26"/>
        <v>0.2044594163150375</v>
      </c>
      <c r="N13" s="142">
        <f t="shared" si="26"/>
        <v>0.20856758887677707</v>
      </c>
      <c r="O13" s="142">
        <f t="shared" si="26"/>
        <v>0.21267576143851841</v>
      </c>
      <c r="P13" s="142">
        <f t="shared" si="26"/>
        <v>0.21678393400025797</v>
      </c>
      <c r="Q13" s="142">
        <f t="shared" si="26"/>
        <v>0.22089210656199931</v>
      </c>
      <c r="R13" s="142">
        <f t="shared" si="26"/>
        <v>0.22500027912373888</v>
      </c>
      <c r="S13" s="142">
        <f t="shared" si="26"/>
        <v>0.22910845168548022</v>
      </c>
      <c r="T13" s="142">
        <f t="shared" si="26"/>
        <v>0.23321662424721978</v>
      </c>
      <c r="U13" s="142">
        <f t="shared" si="26"/>
        <v>0.23732479680896112</v>
      </c>
      <c r="V13" s="142">
        <f t="shared" si="26"/>
        <v>0.24143296937070069</v>
      </c>
      <c r="W13" s="142">
        <f t="shared" si="26"/>
        <v>0.24554114193244203</v>
      </c>
      <c r="X13" s="142">
        <f t="shared" si="26"/>
        <v>0.2496493144941816</v>
      </c>
      <c r="Y13" s="142">
        <f t="shared" si="26"/>
        <v>0.25375748705592294</v>
      </c>
      <c r="Z13" s="142">
        <f t="shared" si="26"/>
        <v>0.2578656596176625</v>
      </c>
      <c r="AA13" s="142">
        <f t="shared" si="26"/>
        <v>0.26197383217940384</v>
      </c>
      <c r="AB13" s="142">
        <f t="shared" si="26"/>
        <v>0.26608200474114341</v>
      </c>
      <c r="AC13" s="142">
        <f t="shared" si="26"/>
        <v>0.27019017730288475</v>
      </c>
      <c r="AD13" s="142">
        <f t="shared" si="26"/>
        <v>0.27429834986462431</v>
      </c>
      <c r="AE13" s="142">
        <f t="shared" si="26"/>
        <v>0.27840652242636565</v>
      </c>
      <c r="AF13" s="142">
        <f t="shared" si="26"/>
        <v>0.28251469498810522</v>
      </c>
      <c r="AG13" s="142">
        <f t="shared" si="26"/>
        <v>0.28662286754984656</v>
      </c>
      <c r="AH13" s="142">
        <f t="shared" si="26"/>
        <v>0.2907310401115879</v>
      </c>
      <c r="AI13" s="142">
        <f t="shared" si="26"/>
        <v>0.29483921267332747</v>
      </c>
      <c r="AJ13" s="142">
        <f t="shared" si="26"/>
        <v>0.29894738523506881</v>
      </c>
      <c r="AK13" s="143">
        <f t="shared" si="26"/>
        <v>0.30305555779680837</v>
      </c>
    </row>
    <row r="15" spans="2:37">
      <c r="E15" s="57"/>
    </row>
    <row r="17" spans="2:13" ht="14.4">
      <c r="B17" s="22" t="s">
        <v>64</v>
      </c>
      <c r="C17" s="22"/>
      <c r="D17" s="22"/>
      <c r="E17" s="22"/>
      <c r="F17" s="22"/>
      <c r="G17" s="22"/>
      <c r="H17" s="14"/>
      <c r="I17" s="14"/>
      <c r="J17" s="14"/>
      <c r="K17" s="14"/>
    </row>
    <row r="18" spans="2:13" ht="14.4" thickBot="1">
      <c r="B18" t="s">
        <v>0</v>
      </c>
    </row>
    <row r="19" spans="2:13" ht="14.4">
      <c r="C19" s="262" t="s">
        <v>1</v>
      </c>
      <c r="D19" s="263"/>
      <c r="E19" s="264"/>
      <c r="F19" s="262" t="s">
        <v>21</v>
      </c>
      <c r="G19" s="263"/>
      <c r="H19" s="264"/>
      <c r="I19" s="262" t="s">
        <v>2</v>
      </c>
      <c r="J19" s="263"/>
      <c r="K19" s="264"/>
    </row>
    <row r="20" spans="2:13" ht="14.4">
      <c r="C20" s="128" t="s">
        <v>3</v>
      </c>
      <c r="D20" s="54" t="s">
        <v>4</v>
      </c>
      <c r="E20" s="129" t="s">
        <v>25</v>
      </c>
      <c r="F20" s="128" t="s">
        <v>3</v>
      </c>
      <c r="G20" s="54" t="s">
        <v>4</v>
      </c>
      <c r="H20" s="129" t="s">
        <v>25</v>
      </c>
      <c r="I20" s="128" t="s">
        <v>3</v>
      </c>
      <c r="J20" s="54" t="s">
        <v>4</v>
      </c>
      <c r="K20" s="129" t="s">
        <v>25</v>
      </c>
    </row>
    <row r="21" spans="2:13">
      <c r="B21" s="7" t="s">
        <v>5</v>
      </c>
      <c r="C21" s="130">
        <v>0.165799216927216</v>
      </c>
      <c r="D21" s="118">
        <v>0.13207260061505893</v>
      </c>
      <c r="E21" s="131">
        <v>0.15559537497726644</v>
      </c>
      <c r="F21" s="130">
        <v>0.13937455105562097</v>
      </c>
      <c r="G21" s="118">
        <v>0.11176250215161548</v>
      </c>
      <c r="H21" s="131">
        <v>0.13198098909828354</v>
      </c>
      <c r="I21" s="130">
        <v>0.14836935694289846</v>
      </c>
      <c r="J21" s="118">
        <v>0.11355887930463666</v>
      </c>
      <c r="K21" s="131">
        <v>0.13610599858113154</v>
      </c>
      <c r="M21" s="57"/>
    </row>
    <row r="22" spans="2:13">
      <c r="B22" s="7" t="s">
        <v>6</v>
      </c>
      <c r="C22" s="130">
        <v>0.13871038083634901</v>
      </c>
      <c r="D22" s="118">
        <v>0.12017997609479271</v>
      </c>
      <c r="E22" s="131">
        <v>0.13310408699704457</v>
      </c>
      <c r="F22" s="130">
        <v>0.11656632528380691</v>
      </c>
      <c r="G22" s="118">
        <v>9.9905835181191338E-2</v>
      </c>
      <c r="H22" s="131">
        <v>0.11210521606871253</v>
      </c>
      <c r="I22" s="130">
        <v>0.13228688294893254</v>
      </c>
      <c r="J22" s="118">
        <v>0.10662906903340663</v>
      </c>
      <c r="K22" s="131">
        <v>0.12324790996799941</v>
      </c>
    </row>
    <row r="23" spans="2:13">
      <c r="B23" s="7" t="s">
        <v>7</v>
      </c>
      <c r="C23" s="130">
        <v>0.1104133295242872</v>
      </c>
      <c r="D23" s="118">
        <v>9.9728791302283931E-2</v>
      </c>
      <c r="E23" s="131">
        <v>0.1071807686792725</v>
      </c>
      <c r="F23" s="130">
        <v>0.10871303845555728</v>
      </c>
      <c r="G23" s="118">
        <v>9.7435274343630709E-2</v>
      </c>
      <c r="H23" s="131">
        <v>0.10569323909218335</v>
      </c>
      <c r="I23" s="130">
        <v>0.11213539556861156</v>
      </c>
      <c r="J23" s="118">
        <v>9.9716569764894222E-2</v>
      </c>
      <c r="K23" s="131">
        <v>0.10776037627568616</v>
      </c>
    </row>
    <row r="24" spans="2:13">
      <c r="B24" s="7" t="s">
        <v>8</v>
      </c>
      <c r="C24" s="130">
        <v>8.5183907072366977E-2</v>
      </c>
      <c r="D24" s="118">
        <v>8.2902413963014593E-2</v>
      </c>
      <c r="E24" s="131">
        <v>8.449365119605072E-2</v>
      </c>
      <c r="F24" s="130">
        <v>8.0491561696991246E-2</v>
      </c>
      <c r="G24" s="118">
        <v>8.2470155827587252E-2</v>
      </c>
      <c r="H24" s="131">
        <v>8.102136150807529E-2</v>
      </c>
      <c r="I24" s="130">
        <v>8.9411694951848392E-2</v>
      </c>
      <c r="J24" s="118">
        <v>8.8108788693215603E-2</v>
      </c>
      <c r="K24" s="131">
        <v>8.8952695034425822E-2</v>
      </c>
    </row>
    <row r="25" spans="2:13">
      <c r="B25" s="7" t="s">
        <v>9</v>
      </c>
      <c r="C25" s="130">
        <v>6.5025652640452777E-2</v>
      </c>
      <c r="D25" s="118">
        <v>7.3193020797253872E-2</v>
      </c>
      <c r="E25" s="131">
        <v>6.7496654565096098E-2</v>
      </c>
      <c r="F25" s="130">
        <v>6.3333555491376564E-2</v>
      </c>
      <c r="G25" s="118">
        <v>7.4724340086874633E-2</v>
      </c>
      <c r="H25" s="131">
        <v>6.6383617873284145E-2</v>
      </c>
      <c r="I25" s="130">
        <v>7.155484349866105E-2</v>
      </c>
      <c r="J25" s="118">
        <v>7.8831756802054398E-2</v>
      </c>
      <c r="K25" s="131">
        <v>7.4118422100895878E-2</v>
      </c>
    </row>
    <row r="26" spans="2:13">
      <c r="B26" s="7" t="s">
        <v>10</v>
      </c>
      <c r="C26" s="130">
        <v>5.4074359096187505E-2</v>
      </c>
      <c r="D26" s="118">
        <v>6.2556968544291658E-2</v>
      </c>
      <c r="E26" s="131">
        <v>5.6640735910585022E-2</v>
      </c>
      <c r="F26" s="130">
        <v>5.0266959915283731E-2</v>
      </c>
      <c r="G26" s="118">
        <v>6.6350758887437605E-2</v>
      </c>
      <c r="H26" s="131">
        <v>5.4573650976979242E-2</v>
      </c>
      <c r="I26" s="130">
        <v>6.1269083334353186E-2</v>
      </c>
      <c r="J26" s="118">
        <v>7.3181966451981773E-2</v>
      </c>
      <c r="K26" s="131">
        <v>6.5465864438923452E-2</v>
      </c>
    </row>
    <row r="27" spans="2:13">
      <c r="B27" s="7" t="s">
        <v>11</v>
      </c>
      <c r="C27" s="130">
        <v>4.5257990642820947E-2</v>
      </c>
      <c r="D27" s="118">
        <v>6.1217200137254527E-2</v>
      </c>
      <c r="E27" s="131">
        <v>5.0086380476539037E-2</v>
      </c>
      <c r="F27" s="130">
        <v>4.7641792371092798E-2</v>
      </c>
      <c r="G27" s="118">
        <v>6.4700343245952432E-2</v>
      </c>
      <c r="H27" s="131">
        <v>5.220948864144713E-2</v>
      </c>
      <c r="I27" s="130">
        <v>5.4054048369600087E-2</v>
      </c>
      <c r="J27" s="118">
        <v>6.7207584921183769E-2</v>
      </c>
      <c r="K27" s="131">
        <v>5.8687898388347648E-2</v>
      </c>
    </row>
    <row r="28" spans="2:13">
      <c r="B28" s="7" t="s">
        <v>12</v>
      </c>
      <c r="C28" s="130">
        <v>4.1167309066196027E-2</v>
      </c>
      <c r="D28" s="118">
        <v>5.3903215750371089E-2</v>
      </c>
      <c r="E28" s="131">
        <v>4.5020502570454597E-2</v>
      </c>
      <c r="F28" s="130">
        <v>4.770103451595465E-2</v>
      </c>
      <c r="G28" s="118">
        <v>6.4629466500612576E-2</v>
      </c>
      <c r="H28" s="131">
        <v>5.2233889399497344E-2</v>
      </c>
      <c r="I28" s="130">
        <v>4.6073927250085335E-2</v>
      </c>
      <c r="J28" s="118">
        <v>6.1988012911458806E-2</v>
      </c>
      <c r="K28" s="131">
        <v>5.1680289147595489E-2</v>
      </c>
    </row>
    <row r="29" spans="2:13">
      <c r="B29" s="7" t="s">
        <v>13</v>
      </c>
      <c r="C29" s="130">
        <v>4.2017337439912192E-2</v>
      </c>
      <c r="D29" s="118">
        <v>6.0320541295307201E-2</v>
      </c>
      <c r="E29" s="131">
        <v>4.7554892633399903E-2</v>
      </c>
      <c r="F29" s="130">
        <v>4.6982723509504665E-2</v>
      </c>
      <c r="G29" s="118">
        <v>6.3161305347144175E-2</v>
      </c>
      <c r="H29" s="131">
        <v>5.1314794179605848E-2</v>
      </c>
      <c r="I29" s="130">
        <v>4.6652290689699318E-2</v>
      </c>
      <c r="J29" s="118">
        <v>6.0307440253485708E-2</v>
      </c>
      <c r="K29" s="131">
        <v>5.1462853599073988E-2</v>
      </c>
    </row>
    <row r="30" spans="2:13">
      <c r="B30" s="7" t="s">
        <v>14</v>
      </c>
      <c r="C30" s="130">
        <v>4.4728460139512149E-2</v>
      </c>
      <c r="D30" s="118">
        <v>6.3492151695697815E-2</v>
      </c>
      <c r="E30" s="131">
        <v>5.0405333895979142E-2</v>
      </c>
      <c r="F30" s="130">
        <v>5.7231614570605528E-2</v>
      </c>
      <c r="G30" s="118">
        <v>7.0947622085193854E-2</v>
      </c>
      <c r="H30" s="131">
        <v>6.0904292093341035E-2</v>
      </c>
      <c r="I30" s="130">
        <v>5.0059930963618916E-2</v>
      </c>
      <c r="J30" s="118">
        <v>7.1744429571240581E-2</v>
      </c>
      <c r="K30" s="131">
        <v>5.7699147526054449E-2</v>
      </c>
    </row>
    <row r="31" spans="2:13">
      <c r="B31" s="7" t="s">
        <v>15</v>
      </c>
      <c r="C31" s="130">
        <v>7.3706856395503145E-2</v>
      </c>
      <c r="D31" s="118">
        <v>7.9396767746944777E-2</v>
      </c>
      <c r="E31" s="131">
        <v>7.5428314474842245E-2</v>
      </c>
      <c r="F31" s="130">
        <v>9.6701693584816242E-2</v>
      </c>
      <c r="G31" s="118">
        <v>8.8859188157508373E-2</v>
      </c>
      <c r="H31" s="131">
        <v>9.4601738960690379E-2</v>
      </c>
      <c r="I31" s="130">
        <v>6.9329714115573413E-2</v>
      </c>
      <c r="J31" s="118">
        <v>7.9157198120979044E-2</v>
      </c>
      <c r="K31" s="131">
        <v>7.2791831452922312E-2</v>
      </c>
    </row>
    <row r="32" spans="2:13" ht="14.4" thickBot="1">
      <c r="B32" s="7" t="s">
        <v>16</v>
      </c>
      <c r="C32" s="132">
        <v>0.13391520021919626</v>
      </c>
      <c r="D32" s="133">
        <v>0.1110363520577289</v>
      </c>
      <c r="E32" s="134">
        <v>0.12699330362346956</v>
      </c>
      <c r="F32" s="132">
        <v>0.14499514954938944</v>
      </c>
      <c r="G32" s="133">
        <v>0.11505320818525157</v>
      </c>
      <c r="H32" s="134">
        <v>0.13697772210790016</v>
      </c>
      <c r="I32" s="132">
        <v>0.11880283136611772</v>
      </c>
      <c r="J32" s="133">
        <v>9.9568304171462951E-2</v>
      </c>
      <c r="K32" s="134">
        <v>0.112026713486944</v>
      </c>
    </row>
    <row r="33" spans="2:11">
      <c r="B33" t="s">
        <v>67</v>
      </c>
    </row>
    <row r="35" spans="2:11">
      <c r="B35" s="7" t="s">
        <v>17</v>
      </c>
      <c r="C35" s="123">
        <f>SUM(C31:C32,C21:C23)</f>
        <v>0.62254498390255153</v>
      </c>
      <c r="D35" s="123">
        <f t="shared" ref="D35:K35" si="28">SUM(D31:D32,D21:D23)</f>
        <v>0.54241448781680923</v>
      </c>
      <c r="E35" s="123">
        <f t="shared" si="28"/>
        <v>0.59830184875189529</v>
      </c>
      <c r="F35" s="123">
        <f t="shared" si="28"/>
        <v>0.6063507579291908</v>
      </c>
      <c r="G35" s="123">
        <f t="shared" si="28"/>
        <v>0.51301600801919744</v>
      </c>
      <c r="H35" s="123">
        <f t="shared" si="28"/>
        <v>0.58135890532777001</v>
      </c>
      <c r="I35" s="123">
        <f t="shared" si="28"/>
        <v>0.58092418094213361</v>
      </c>
      <c r="J35" s="123">
        <f t="shared" si="28"/>
        <v>0.49863002039537951</v>
      </c>
      <c r="K35" s="123">
        <f t="shared" si="28"/>
        <v>0.55193282976468339</v>
      </c>
    </row>
    <row r="36" spans="2:11">
      <c r="B36" s="7" t="s">
        <v>18</v>
      </c>
      <c r="C36" s="123">
        <f t="shared" ref="C36:K36" si="29">1-C35</f>
        <v>0.37745501609744847</v>
      </c>
      <c r="D36" s="123">
        <f t="shared" si="29"/>
        <v>0.45758551218319077</v>
      </c>
      <c r="E36" s="123">
        <f t="shared" si="29"/>
        <v>0.40169815124810471</v>
      </c>
      <c r="F36" s="123">
        <f t="shared" si="29"/>
        <v>0.3936492420708092</v>
      </c>
      <c r="G36" s="123">
        <f t="shared" si="29"/>
        <v>0.48698399198080256</v>
      </c>
      <c r="H36" s="123">
        <f t="shared" si="29"/>
        <v>0.41864109467222999</v>
      </c>
      <c r="I36" s="123">
        <f t="shared" si="29"/>
        <v>0.41907581905786639</v>
      </c>
      <c r="J36" s="123">
        <f t="shared" si="29"/>
        <v>0.50136997960462049</v>
      </c>
      <c r="K36" s="123">
        <f t="shared" si="29"/>
        <v>0.44806717023531661</v>
      </c>
    </row>
    <row r="37" spans="2:11">
      <c r="B37" s="7"/>
    </row>
    <row r="38" spans="2:11">
      <c r="B38" s="7" t="s">
        <v>19</v>
      </c>
      <c r="C38" s="119">
        <v>1</v>
      </c>
      <c r="D38" s="120">
        <v>1</v>
      </c>
      <c r="E38" s="120">
        <v>1</v>
      </c>
      <c r="F38" s="120">
        <v>1</v>
      </c>
      <c r="G38" s="120">
        <v>1</v>
      </c>
      <c r="H38" s="120">
        <v>1</v>
      </c>
      <c r="I38" s="120">
        <v>1</v>
      </c>
      <c r="J38" s="120">
        <v>1</v>
      </c>
      <c r="K38" s="120">
        <v>1</v>
      </c>
    </row>
    <row r="39" spans="2:11">
      <c r="B39" s="7" t="s">
        <v>20</v>
      </c>
      <c r="C39" s="121">
        <f t="shared" ref="C39:K39" si="30">1-C38</f>
        <v>0</v>
      </c>
      <c r="D39" s="122">
        <f t="shared" si="30"/>
        <v>0</v>
      </c>
      <c r="E39" s="122">
        <f t="shared" si="30"/>
        <v>0</v>
      </c>
      <c r="F39" s="122">
        <f t="shared" si="30"/>
        <v>0</v>
      </c>
      <c r="G39" s="122">
        <f t="shared" si="30"/>
        <v>0</v>
      </c>
      <c r="H39" s="122">
        <f t="shared" si="30"/>
        <v>0</v>
      </c>
      <c r="I39" s="122">
        <f t="shared" si="30"/>
        <v>0</v>
      </c>
      <c r="J39" s="122">
        <f t="shared" si="30"/>
        <v>0</v>
      </c>
      <c r="K39" s="122">
        <f t="shared" si="30"/>
        <v>0</v>
      </c>
    </row>
    <row r="40" spans="2:11">
      <c r="B40" s="7"/>
    </row>
    <row r="41" spans="2:11">
      <c r="B41" s="7" t="s">
        <v>19</v>
      </c>
      <c r="C41" s="124">
        <f>C38/C35</f>
        <v>1.6063096255812614</v>
      </c>
      <c r="D41" s="124">
        <f t="shared" ref="D41:K41" si="31">D38/D35</f>
        <v>1.8436085732609193</v>
      </c>
      <c r="E41" s="124">
        <f t="shared" si="31"/>
        <v>1.6713971419043392</v>
      </c>
      <c r="F41" s="124">
        <f t="shared" si="31"/>
        <v>1.6492104395403087</v>
      </c>
      <c r="G41" s="124">
        <f t="shared" si="31"/>
        <v>1.9492569127834687</v>
      </c>
      <c r="H41" s="124">
        <f t="shared" si="31"/>
        <v>1.7201078212368661</v>
      </c>
      <c r="I41" s="124">
        <f t="shared" si="31"/>
        <v>1.7213950336483084</v>
      </c>
      <c r="J41" s="124">
        <f t="shared" si="31"/>
        <v>2.0054949744242601</v>
      </c>
      <c r="K41" s="124">
        <f t="shared" si="31"/>
        <v>1.8118146739456504</v>
      </c>
    </row>
    <row r="42" spans="2:11">
      <c r="B42" s="7" t="s">
        <v>20</v>
      </c>
      <c r="C42" s="124">
        <f t="shared" ref="C42:K42" si="32">C39/C36</f>
        <v>0</v>
      </c>
      <c r="D42" s="124">
        <f t="shared" si="32"/>
        <v>0</v>
      </c>
      <c r="E42" s="124">
        <f t="shared" si="32"/>
        <v>0</v>
      </c>
      <c r="F42" s="124">
        <f t="shared" si="32"/>
        <v>0</v>
      </c>
      <c r="G42" s="124">
        <f t="shared" si="32"/>
        <v>0</v>
      </c>
      <c r="H42" s="124">
        <f t="shared" si="32"/>
        <v>0</v>
      </c>
      <c r="I42" s="124">
        <f t="shared" si="32"/>
        <v>0</v>
      </c>
      <c r="J42" s="124">
        <f t="shared" si="32"/>
        <v>0</v>
      </c>
      <c r="K42" s="124">
        <f t="shared" si="32"/>
        <v>0</v>
      </c>
    </row>
    <row r="44" spans="2:11" ht="14.4">
      <c r="B44" s="23" t="s">
        <v>87</v>
      </c>
      <c r="C44" s="23"/>
      <c r="D44" s="23"/>
      <c r="E44" s="23"/>
      <c r="F44" s="23"/>
      <c r="G44" s="23"/>
      <c r="H44" s="23"/>
      <c r="I44" s="23"/>
      <c r="J44" s="23"/>
      <c r="K44" s="23"/>
    </row>
    <row r="45" spans="2:11">
      <c r="B45" s="7" t="s">
        <v>5</v>
      </c>
      <c r="C45" s="124">
        <f>C$41</f>
        <v>1.6063096255812614</v>
      </c>
      <c r="D45" s="124">
        <f t="shared" ref="C45:K47" si="33">D$41</f>
        <v>1.8436085732609193</v>
      </c>
      <c r="E45" s="124">
        <f t="shared" si="33"/>
        <v>1.6713971419043392</v>
      </c>
      <c r="F45" s="124">
        <f t="shared" si="33"/>
        <v>1.6492104395403087</v>
      </c>
      <c r="G45" s="124">
        <f t="shared" si="33"/>
        <v>1.9492569127834687</v>
      </c>
      <c r="H45" s="124">
        <f t="shared" si="33"/>
        <v>1.7201078212368661</v>
      </c>
      <c r="I45" s="124">
        <f t="shared" si="33"/>
        <v>1.7213950336483084</v>
      </c>
      <c r="J45" s="124">
        <f t="shared" si="33"/>
        <v>2.0054949744242601</v>
      </c>
      <c r="K45" s="124">
        <f t="shared" si="33"/>
        <v>1.8118146739456504</v>
      </c>
    </row>
    <row r="46" spans="2:11">
      <c r="B46" s="7" t="s">
        <v>6</v>
      </c>
      <c r="C46" s="124">
        <f>C$41</f>
        <v>1.6063096255812614</v>
      </c>
      <c r="D46" s="124">
        <f t="shared" si="33"/>
        <v>1.8436085732609193</v>
      </c>
      <c r="E46" s="124">
        <f t="shared" si="33"/>
        <v>1.6713971419043392</v>
      </c>
      <c r="F46" s="124">
        <f t="shared" si="33"/>
        <v>1.6492104395403087</v>
      </c>
      <c r="G46" s="124">
        <f t="shared" si="33"/>
        <v>1.9492569127834687</v>
      </c>
      <c r="H46" s="124">
        <f t="shared" si="33"/>
        <v>1.7201078212368661</v>
      </c>
      <c r="I46" s="124">
        <f t="shared" si="33"/>
        <v>1.7213950336483084</v>
      </c>
      <c r="J46" s="124">
        <f t="shared" si="33"/>
        <v>2.0054949744242601</v>
      </c>
      <c r="K46" s="124">
        <f t="shared" si="33"/>
        <v>1.8118146739456504</v>
      </c>
    </row>
    <row r="47" spans="2:11">
      <c r="B47" s="7" t="s">
        <v>7</v>
      </c>
      <c r="C47" s="124">
        <f t="shared" si="33"/>
        <v>1.6063096255812614</v>
      </c>
      <c r="D47" s="124">
        <f t="shared" si="33"/>
        <v>1.8436085732609193</v>
      </c>
      <c r="E47" s="124">
        <f t="shared" si="33"/>
        <v>1.6713971419043392</v>
      </c>
      <c r="F47" s="124">
        <f t="shared" si="33"/>
        <v>1.6492104395403087</v>
      </c>
      <c r="G47" s="124">
        <f t="shared" si="33"/>
        <v>1.9492569127834687</v>
      </c>
      <c r="H47" s="124">
        <f t="shared" si="33"/>
        <v>1.7201078212368661</v>
      </c>
      <c r="I47" s="124">
        <f t="shared" si="33"/>
        <v>1.7213950336483084</v>
      </c>
      <c r="J47" s="124">
        <f t="shared" si="33"/>
        <v>2.0054949744242601</v>
      </c>
      <c r="K47" s="124">
        <f t="shared" si="33"/>
        <v>1.8118146739456504</v>
      </c>
    </row>
    <row r="48" spans="2:11">
      <c r="B48" s="7" t="s">
        <v>8</v>
      </c>
      <c r="C48" s="124">
        <f t="shared" ref="C48:K54" si="34">C$42</f>
        <v>0</v>
      </c>
      <c r="D48" s="124">
        <f t="shared" si="34"/>
        <v>0</v>
      </c>
      <c r="E48" s="124">
        <f t="shared" si="34"/>
        <v>0</v>
      </c>
      <c r="F48" s="124">
        <f t="shared" si="34"/>
        <v>0</v>
      </c>
      <c r="G48" s="124">
        <f t="shared" si="34"/>
        <v>0</v>
      </c>
      <c r="H48" s="124">
        <f t="shared" si="34"/>
        <v>0</v>
      </c>
      <c r="I48" s="124">
        <f t="shared" si="34"/>
        <v>0</v>
      </c>
      <c r="J48" s="124">
        <f t="shared" si="34"/>
        <v>0</v>
      </c>
      <c r="K48" s="124">
        <f t="shared" si="34"/>
        <v>0</v>
      </c>
    </row>
    <row r="49" spans="2:11">
      <c r="B49" s="7" t="s">
        <v>9</v>
      </c>
      <c r="C49" s="124">
        <f t="shared" si="34"/>
        <v>0</v>
      </c>
      <c r="D49" s="124">
        <f t="shared" si="34"/>
        <v>0</v>
      </c>
      <c r="E49" s="124">
        <f t="shared" si="34"/>
        <v>0</v>
      </c>
      <c r="F49" s="124">
        <f t="shared" si="34"/>
        <v>0</v>
      </c>
      <c r="G49" s="124">
        <f t="shared" si="34"/>
        <v>0</v>
      </c>
      <c r="H49" s="124">
        <f t="shared" si="34"/>
        <v>0</v>
      </c>
      <c r="I49" s="124">
        <f t="shared" si="34"/>
        <v>0</v>
      </c>
      <c r="J49" s="124">
        <f t="shared" si="34"/>
        <v>0</v>
      </c>
      <c r="K49" s="124">
        <f t="shared" si="34"/>
        <v>0</v>
      </c>
    </row>
    <row r="50" spans="2:11">
      <c r="B50" s="7" t="s">
        <v>10</v>
      </c>
      <c r="C50" s="124">
        <f t="shared" si="34"/>
        <v>0</v>
      </c>
      <c r="D50" s="124">
        <f t="shared" si="34"/>
        <v>0</v>
      </c>
      <c r="E50" s="124">
        <f t="shared" si="34"/>
        <v>0</v>
      </c>
      <c r="F50" s="124">
        <f t="shared" si="34"/>
        <v>0</v>
      </c>
      <c r="G50" s="124">
        <f t="shared" si="34"/>
        <v>0</v>
      </c>
      <c r="H50" s="124">
        <f t="shared" si="34"/>
        <v>0</v>
      </c>
      <c r="I50" s="124">
        <f t="shared" si="34"/>
        <v>0</v>
      </c>
      <c r="J50" s="124">
        <f t="shared" si="34"/>
        <v>0</v>
      </c>
      <c r="K50" s="124">
        <f t="shared" si="34"/>
        <v>0</v>
      </c>
    </row>
    <row r="51" spans="2:11">
      <c r="B51" s="7" t="s">
        <v>11</v>
      </c>
      <c r="C51" s="124">
        <f t="shared" si="34"/>
        <v>0</v>
      </c>
      <c r="D51" s="124">
        <f t="shared" si="34"/>
        <v>0</v>
      </c>
      <c r="E51" s="124">
        <f t="shared" si="34"/>
        <v>0</v>
      </c>
      <c r="F51" s="124">
        <f t="shared" si="34"/>
        <v>0</v>
      </c>
      <c r="G51" s="124">
        <f t="shared" si="34"/>
        <v>0</v>
      </c>
      <c r="H51" s="124">
        <f t="shared" si="34"/>
        <v>0</v>
      </c>
      <c r="I51" s="124">
        <f t="shared" si="34"/>
        <v>0</v>
      </c>
      <c r="J51" s="124">
        <f t="shared" si="34"/>
        <v>0</v>
      </c>
      <c r="K51" s="124">
        <f t="shared" si="34"/>
        <v>0</v>
      </c>
    </row>
    <row r="52" spans="2:11">
      <c r="B52" s="7" t="s">
        <v>12</v>
      </c>
      <c r="C52" s="124">
        <f t="shared" si="34"/>
        <v>0</v>
      </c>
      <c r="D52" s="124">
        <f t="shared" si="34"/>
        <v>0</v>
      </c>
      <c r="E52" s="124">
        <f t="shared" si="34"/>
        <v>0</v>
      </c>
      <c r="F52" s="124">
        <f t="shared" si="34"/>
        <v>0</v>
      </c>
      <c r="G52" s="124">
        <f t="shared" si="34"/>
        <v>0</v>
      </c>
      <c r="H52" s="124">
        <f t="shared" si="34"/>
        <v>0</v>
      </c>
      <c r="I52" s="124">
        <f t="shared" si="34"/>
        <v>0</v>
      </c>
      <c r="J52" s="124">
        <f t="shared" si="34"/>
        <v>0</v>
      </c>
      <c r="K52" s="124">
        <f t="shared" si="34"/>
        <v>0</v>
      </c>
    </row>
    <row r="53" spans="2:11">
      <c r="B53" s="7" t="s">
        <v>13</v>
      </c>
      <c r="C53" s="124">
        <f t="shared" si="34"/>
        <v>0</v>
      </c>
      <c r="D53" s="124">
        <f t="shared" si="34"/>
        <v>0</v>
      </c>
      <c r="E53" s="124">
        <f t="shared" si="34"/>
        <v>0</v>
      </c>
      <c r="F53" s="124">
        <f t="shared" si="34"/>
        <v>0</v>
      </c>
      <c r="G53" s="124">
        <f t="shared" si="34"/>
        <v>0</v>
      </c>
      <c r="H53" s="124">
        <f t="shared" si="34"/>
        <v>0</v>
      </c>
      <c r="I53" s="124">
        <f t="shared" si="34"/>
        <v>0</v>
      </c>
      <c r="J53" s="124">
        <f t="shared" si="34"/>
        <v>0</v>
      </c>
      <c r="K53" s="124">
        <f t="shared" si="34"/>
        <v>0</v>
      </c>
    </row>
    <row r="54" spans="2:11">
      <c r="B54" s="7" t="s">
        <v>14</v>
      </c>
      <c r="C54" s="124">
        <f t="shared" si="34"/>
        <v>0</v>
      </c>
      <c r="D54" s="124">
        <f t="shared" si="34"/>
        <v>0</v>
      </c>
      <c r="E54" s="124">
        <f t="shared" si="34"/>
        <v>0</v>
      </c>
      <c r="F54" s="124">
        <f t="shared" si="34"/>
        <v>0</v>
      </c>
      <c r="G54" s="124">
        <f t="shared" si="34"/>
        <v>0</v>
      </c>
      <c r="H54" s="124">
        <f t="shared" si="34"/>
        <v>0</v>
      </c>
      <c r="I54" s="124">
        <f t="shared" si="34"/>
        <v>0</v>
      </c>
      <c r="J54" s="124">
        <f t="shared" si="34"/>
        <v>0</v>
      </c>
      <c r="K54" s="124">
        <f t="shared" si="34"/>
        <v>0</v>
      </c>
    </row>
    <row r="55" spans="2:11">
      <c r="B55" s="7" t="s">
        <v>15</v>
      </c>
      <c r="C55" s="124">
        <f t="shared" ref="C55:K56" si="35">C$41</f>
        <v>1.6063096255812614</v>
      </c>
      <c r="D55" s="124">
        <f t="shared" si="35"/>
        <v>1.8436085732609193</v>
      </c>
      <c r="E55" s="124">
        <f t="shared" si="35"/>
        <v>1.6713971419043392</v>
      </c>
      <c r="F55" s="124">
        <f t="shared" si="35"/>
        <v>1.6492104395403087</v>
      </c>
      <c r="G55" s="124">
        <f t="shared" si="35"/>
        <v>1.9492569127834687</v>
      </c>
      <c r="H55" s="124">
        <f t="shared" si="35"/>
        <v>1.7201078212368661</v>
      </c>
      <c r="I55" s="124">
        <f t="shared" si="35"/>
        <v>1.7213950336483084</v>
      </c>
      <c r="J55" s="124">
        <f t="shared" si="35"/>
        <v>2.0054949744242601</v>
      </c>
      <c r="K55" s="124">
        <f t="shared" si="35"/>
        <v>1.8118146739456504</v>
      </c>
    </row>
    <row r="56" spans="2:11">
      <c r="B56" s="7" t="s">
        <v>16</v>
      </c>
      <c r="C56" s="124">
        <f t="shared" si="35"/>
        <v>1.6063096255812614</v>
      </c>
      <c r="D56" s="124">
        <f t="shared" si="35"/>
        <v>1.8436085732609193</v>
      </c>
      <c r="E56" s="124">
        <f t="shared" si="35"/>
        <v>1.6713971419043392</v>
      </c>
      <c r="F56" s="124">
        <f t="shared" si="35"/>
        <v>1.6492104395403087</v>
      </c>
      <c r="G56" s="124">
        <f t="shared" si="35"/>
        <v>1.9492569127834687</v>
      </c>
      <c r="H56" s="124">
        <f t="shared" si="35"/>
        <v>1.7201078212368661</v>
      </c>
      <c r="I56" s="124">
        <f t="shared" si="35"/>
        <v>1.7213950336483084</v>
      </c>
      <c r="J56" s="124">
        <f t="shared" si="35"/>
        <v>2.0054949744242601</v>
      </c>
      <c r="K56" s="124">
        <f t="shared" si="35"/>
        <v>1.8118146739456504</v>
      </c>
    </row>
  </sheetData>
  <mergeCells count="6">
    <mergeCell ref="C19:E19"/>
    <mergeCell ref="F19:H19"/>
    <mergeCell ref="I19:K19"/>
    <mergeCell ref="B5:B7"/>
    <mergeCell ref="B8:B10"/>
    <mergeCell ref="B11:B13"/>
  </mergeCells>
  <phoneticPr fontId="11" type="noConversion"/>
  <pageMargins left="0.75" right="0.75" top="1" bottom="1" header="0.5" footer="0.5"/>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sheetPr>
  <dimension ref="A1:AI37"/>
  <sheetViews>
    <sheetView zoomScale="64" zoomScaleNormal="64" workbookViewId="0">
      <selection activeCell="B49" sqref="B49"/>
    </sheetView>
  </sheetViews>
  <sheetFormatPr defaultColWidth="9" defaultRowHeight="13.8"/>
  <cols>
    <col min="1" max="1" width="36.44140625" style="11" customWidth="1"/>
    <col min="2" max="2" width="31" style="11" customWidth="1"/>
    <col min="3" max="3" width="12.33203125" style="11" customWidth="1"/>
    <col min="4" max="4" width="11.6640625" style="11" customWidth="1"/>
    <col min="5" max="5" width="12" style="11" customWidth="1"/>
    <col min="6" max="6" width="14.77734375" style="11" customWidth="1"/>
    <col min="7" max="7" width="9.6640625" style="11" customWidth="1"/>
    <col min="8" max="8" width="12.6640625" style="11" customWidth="1"/>
    <col min="9" max="9" width="13.5546875" style="11" customWidth="1"/>
    <col min="10" max="10" width="11.44140625" style="11" customWidth="1"/>
    <col min="11" max="11" width="11.5546875" style="11" customWidth="1"/>
    <col min="12" max="12" width="10" style="11" customWidth="1"/>
    <col min="13" max="14" width="9.6640625" style="11" customWidth="1"/>
    <col min="15" max="15" width="19.6640625" style="11" bestFit="1" customWidth="1"/>
    <col min="16" max="21" width="9.6640625" style="11" customWidth="1"/>
    <col min="22" max="32" width="9" style="11"/>
    <col min="33" max="33" width="10.5546875" style="11" bestFit="1" customWidth="1"/>
    <col min="34" max="34" width="9.33203125" style="11" bestFit="1" customWidth="1"/>
    <col min="35" max="35" width="9.88671875" style="11" bestFit="1" customWidth="1"/>
    <col min="36" max="16384" width="9" style="11"/>
  </cols>
  <sheetData>
    <row r="1" spans="1:35">
      <c r="A1" s="268" t="s">
        <v>63</v>
      </c>
      <c r="B1" s="268"/>
      <c r="C1" s="268"/>
      <c r="D1" s="268"/>
      <c r="E1" s="268"/>
      <c r="F1" s="268"/>
      <c r="G1" s="268"/>
    </row>
    <row r="2" spans="1:35">
      <c r="A2" s="268"/>
      <c r="B2" s="268"/>
      <c r="C2" s="268"/>
      <c r="D2" s="268"/>
      <c r="E2" s="268"/>
      <c r="F2" s="268"/>
      <c r="G2" s="268"/>
    </row>
    <row r="4" spans="1:35" ht="14.4">
      <c r="A4" s="35" t="s">
        <v>60</v>
      </c>
      <c r="C4" s="36"/>
      <c r="D4" s="36"/>
      <c r="E4" s="189">
        <f>IF('User Dashboard'!C7=3,6,('User Dashboard'!C7-1)*3+'User Dashboard'!C8-1)</f>
        <v>6</v>
      </c>
      <c r="F4" s="36"/>
    </row>
    <row r="5" spans="1:35" s="191" customFormat="1" ht="35.4" customHeight="1">
      <c r="A5" s="152" t="s">
        <v>27</v>
      </c>
      <c r="B5" s="152" t="s">
        <v>28</v>
      </c>
      <c r="C5" s="152" t="s">
        <v>46</v>
      </c>
      <c r="D5" s="152" t="s">
        <v>47</v>
      </c>
      <c r="E5" s="152" t="s">
        <v>73</v>
      </c>
      <c r="F5" s="152" t="s">
        <v>532</v>
      </c>
    </row>
    <row r="6" spans="1:35">
      <c r="A6" s="190" t="s">
        <v>43</v>
      </c>
      <c r="B6" s="190" t="s">
        <v>29</v>
      </c>
      <c r="C6" s="192">
        <v>0.186</v>
      </c>
      <c r="D6" s="193">
        <v>117</v>
      </c>
      <c r="E6" s="194">
        <f>C6/10</f>
        <v>1.8599999999999998E-2</v>
      </c>
      <c r="F6" s="257">
        <f>D6/(10*2204.62)</f>
        <v>5.3070370403969849E-3</v>
      </c>
      <c r="G6" s="45"/>
    </row>
    <row r="7" spans="1:35">
      <c r="A7" s="190" t="s">
        <v>43</v>
      </c>
      <c r="B7" s="190" t="s">
        <v>30</v>
      </c>
      <c r="C7" s="192">
        <v>0.13700000000000001</v>
      </c>
      <c r="D7" s="193">
        <v>117</v>
      </c>
      <c r="E7" s="194">
        <f t="shared" ref="E7:E12" si="0">C7/10</f>
        <v>1.37E-2</v>
      </c>
      <c r="F7" s="257">
        <f t="shared" ref="F7:F12" si="1">D7/(10*2204.62)</f>
        <v>5.3070370403969849E-3</v>
      </c>
      <c r="G7" s="45"/>
    </row>
    <row r="8" spans="1:35">
      <c r="A8" s="190" t="s">
        <v>43</v>
      </c>
      <c r="B8" s="190" t="s">
        <v>31</v>
      </c>
      <c r="C8" s="192">
        <v>9.8000000000000004E-2</v>
      </c>
      <c r="D8" s="193">
        <v>117</v>
      </c>
      <c r="E8" s="194">
        <f t="shared" si="0"/>
        <v>9.7999999999999997E-3</v>
      </c>
      <c r="F8" s="257">
        <f t="shared" si="1"/>
        <v>5.3070370403969849E-3</v>
      </c>
      <c r="G8" s="38"/>
    </row>
    <row r="9" spans="1:35">
      <c r="A9" s="190" t="s">
        <v>44</v>
      </c>
      <c r="B9" s="190" t="s">
        <v>29</v>
      </c>
      <c r="C9" s="192">
        <v>9.8000000000000004E-2</v>
      </c>
      <c r="D9" s="193">
        <v>117</v>
      </c>
      <c r="E9" s="194">
        <f t="shared" si="0"/>
        <v>9.7999999999999997E-3</v>
      </c>
      <c r="F9" s="257">
        <f t="shared" si="1"/>
        <v>5.3070370403969849E-3</v>
      </c>
    </row>
    <row r="10" spans="1:35">
      <c r="A10" s="190" t="s">
        <v>44</v>
      </c>
      <c r="B10" s="190" t="s">
        <v>30</v>
      </c>
      <c r="C10" s="192">
        <v>4.9000000000000002E-2</v>
      </c>
      <c r="D10" s="193">
        <v>117</v>
      </c>
      <c r="E10" s="194">
        <f t="shared" si="0"/>
        <v>4.8999999999999998E-3</v>
      </c>
      <c r="F10" s="257">
        <f t="shared" si="1"/>
        <v>5.3070370403969849E-3</v>
      </c>
    </row>
    <row r="11" spans="1:35">
      <c r="A11" s="190" t="s">
        <v>44</v>
      </c>
      <c r="B11" s="190" t="s">
        <v>31</v>
      </c>
      <c r="C11" s="192">
        <v>3.1E-2</v>
      </c>
      <c r="D11" s="193">
        <v>117</v>
      </c>
      <c r="E11" s="194">
        <f t="shared" si="0"/>
        <v>3.0999999999999999E-3</v>
      </c>
      <c r="F11" s="257">
        <f t="shared" si="1"/>
        <v>5.3070370403969849E-3</v>
      </c>
    </row>
    <row r="12" spans="1:35">
      <c r="A12" s="190" t="s">
        <v>45</v>
      </c>
      <c r="B12" s="190" t="s">
        <v>29</v>
      </c>
      <c r="C12" s="192">
        <v>9.1999999999999998E-2</v>
      </c>
      <c r="D12" s="193">
        <v>117</v>
      </c>
      <c r="E12" s="194">
        <f t="shared" si="0"/>
        <v>9.1999999999999998E-3</v>
      </c>
      <c r="F12" s="257">
        <f t="shared" si="1"/>
        <v>5.3070370403969849E-3</v>
      </c>
    </row>
    <row r="13" spans="1:35">
      <c r="E13" s="38"/>
      <c r="F13" s="38"/>
    </row>
    <row r="16" spans="1:35" ht="14.4">
      <c r="A16" s="46" t="s">
        <v>61</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row>
    <row r="17" spans="1:35" ht="14.4">
      <c r="A17" s="146" t="s">
        <v>71</v>
      </c>
      <c r="B17" s="102">
        <v>2019</v>
      </c>
      <c r="C17" s="54">
        <v>2020</v>
      </c>
      <c r="D17" s="54">
        <v>2021</v>
      </c>
      <c r="E17" s="54">
        <v>2022</v>
      </c>
      <c r="F17" s="54">
        <v>2023</v>
      </c>
      <c r="G17" s="54">
        <f>F17+1</f>
        <v>2024</v>
      </c>
      <c r="H17" s="54">
        <f>G17+1</f>
        <v>2025</v>
      </c>
      <c r="I17" s="54">
        <f t="shared" ref="I17:AE17" si="2">H17+1</f>
        <v>2026</v>
      </c>
      <c r="J17" s="54">
        <f t="shared" si="2"/>
        <v>2027</v>
      </c>
      <c r="K17" s="54">
        <f t="shared" si="2"/>
        <v>2028</v>
      </c>
      <c r="L17" s="54">
        <f t="shared" si="2"/>
        <v>2029</v>
      </c>
      <c r="M17" s="54">
        <f t="shared" si="2"/>
        <v>2030</v>
      </c>
      <c r="N17" s="54">
        <f t="shared" si="2"/>
        <v>2031</v>
      </c>
      <c r="O17" s="54">
        <f t="shared" si="2"/>
        <v>2032</v>
      </c>
      <c r="P17" s="54">
        <f t="shared" si="2"/>
        <v>2033</v>
      </c>
      <c r="Q17" s="54">
        <f t="shared" si="2"/>
        <v>2034</v>
      </c>
      <c r="R17" s="54">
        <f t="shared" si="2"/>
        <v>2035</v>
      </c>
      <c r="S17" s="54">
        <f t="shared" si="2"/>
        <v>2036</v>
      </c>
      <c r="T17" s="54">
        <f t="shared" si="2"/>
        <v>2037</v>
      </c>
      <c r="U17" s="54">
        <f t="shared" si="2"/>
        <v>2038</v>
      </c>
      <c r="V17" s="54">
        <f t="shared" si="2"/>
        <v>2039</v>
      </c>
      <c r="W17" s="54">
        <f t="shared" si="2"/>
        <v>2040</v>
      </c>
      <c r="X17" s="54">
        <f t="shared" si="2"/>
        <v>2041</v>
      </c>
      <c r="Y17" s="54">
        <f t="shared" si="2"/>
        <v>2042</v>
      </c>
      <c r="Z17" s="54">
        <f t="shared" si="2"/>
        <v>2043</v>
      </c>
      <c r="AA17" s="54">
        <f t="shared" si="2"/>
        <v>2044</v>
      </c>
      <c r="AB17" s="54">
        <f t="shared" si="2"/>
        <v>2045</v>
      </c>
      <c r="AC17" s="54">
        <f t="shared" si="2"/>
        <v>2046</v>
      </c>
      <c r="AD17" s="54">
        <f t="shared" si="2"/>
        <v>2047</v>
      </c>
      <c r="AE17" s="54">
        <f t="shared" si="2"/>
        <v>2048</v>
      </c>
      <c r="AF17" s="54">
        <v>2049</v>
      </c>
      <c r="AG17" s="54">
        <v>2050</v>
      </c>
      <c r="AH17" s="54">
        <v>2051</v>
      </c>
      <c r="AI17" s="54">
        <v>2052</v>
      </c>
    </row>
    <row r="18" spans="1:35" ht="14.4">
      <c r="A18" s="37" t="s">
        <v>69</v>
      </c>
      <c r="B18" s="145">
        <v>11.339584804900008</v>
      </c>
      <c r="C18" s="145">
        <v>12.47354328539001</v>
      </c>
      <c r="D18" s="145">
        <v>13.720897613929012</v>
      </c>
      <c r="E18" s="145">
        <v>15.092987375321913</v>
      </c>
      <c r="F18" s="145">
        <v>16.602286112854106</v>
      </c>
      <c r="G18" s="144">
        <f t="shared" ref="G18:P19" si="3">TREND($B18:$F18,$B$17:$F$17,G$17)</f>
        <v>17.789313850231338</v>
      </c>
      <c r="H18" s="144">
        <f t="shared" si="3"/>
        <v>19.103798520815417</v>
      </c>
      <c r="I18" s="144">
        <f t="shared" si="3"/>
        <v>20.418283191399041</v>
      </c>
      <c r="J18" s="144">
        <f t="shared" si="3"/>
        <v>21.73276786198312</v>
      </c>
      <c r="K18" s="144">
        <f t="shared" si="3"/>
        <v>23.0472525325672</v>
      </c>
      <c r="L18" s="144">
        <f t="shared" si="3"/>
        <v>24.361737203151279</v>
      </c>
      <c r="M18" s="144">
        <f t="shared" si="3"/>
        <v>25.676221873735358</v>
      </c>
      <c r="N18" s="144">
        <f t="shared" si="3"/>
        <v>26.990706544319437</v>
      </c>
      <c r="O18" s="144">
        <f t="shared" si="3"/>
        <v>28.305191214903061</v>
      </c>
      <c r="P18" s="144">
        <f t="shared" si="3"/>
        <v>29.61967588548714</v>
      </c>
      <c r="Q18" s="144">
        <f t="shared" ref="Q18:AE19" si="4">TREND($B18:$F18,$B$17:$F$17,Q$17)</f>
        <v>30.93416055607122</v>
      </c>
      <c r="R18" s="144">
        <f t="shared" si="4"/>
        <v>32.248645226655299</v>
      </c>
      <c r="S18" s="144">
        <f t="shared" si="4"/>
        <v>33.563129897239378</v>
      </c>
      <c r="T18" s="144">
        <f t="shared" si="4"/>
        <v>34.877614567823457</v>
      </c>
      <c r="U18" s="144">
        <f t="shared" si="4"/>
        <v>36.192099238407536</v>
      </c>
      <c r="V18" s="144">
        <f t="shared" si="4"/>
        <v>37.506583908991161</v>
      </c>
      <c r="W18" s="144">
        <f t="shared" si="4"/>
        <v>38.82106857957524</v>
      </c>
      <c r="X18" s="144">
        <f t="shared" si="4"/>
        <v>40.135553250159319</v>
      </c>
      <c r="Y18" s="144">
        <f t="shared" si="4"/>
        <v>41.450037920743398</v>
      </c>
      <c r="Z18" s="144">
        <f t="shared" si="4"/>
        <v>42.764522591327477</v>
      </c>
      <c r="AA18" s="144">
        <f t="shared" si="4"/>
        <v>44.079007261911556</v>
      </c>
      <c r="AB18" s="144">
        <f t="shared" si="4"/>
        <v>45.393491932495181</v>
      </c>
      <c r="AC18" s="144">
        <f t="shared" si="4"/>
        <v>46.70797660307926</v>
      </c>
      <c r="AD18" s="144">
        <f t="shared" si="4"/>
        <v>48.022461273663339</v>
      </c>
      <c r="AE18" s="144">
        <f t="shared" si="4"/>
        <v>49.336945944247418</v>
      </c>
      <c r="AF18" s="144">
        <f t="shared" ref="AF18:AI19" si="5">TREND($B18:$F18,$B$17:$F$17,AF$17)</f>
        <v>50.651430614831497</v>
      </c>
      <c r="AG18" s="144">
        <f>TREND($B18:$F18,$B$17:$F$17,AG$17)</f>
        <v>51.965915285415576</v>
      </c>
      <c r="AH18" s="144">
        <f t="shared" si="5"/>
        <v>53.280399955999656</v>
      </c>
      <c r="AI18" s="144">
        <f t="shared" si="5"/>
        <v>54.59488462658328</v>
      </c>
    </row>
    <row r="19" spans="1:35" ht="14.4">
      <c r="A19" s="37" t="s">
        <v>70</v>
      </c>
      <c r="B19" s="145">
        <v>15.86306967106159</v>
      </c>
      <c r="C19" s="145">
        <v>17.449376638167749</v>
      </c>
      <c r="D19" s="145">
        <v>19.194314301984527</v>
      </c>
      <c r="E19" s="145">
        <v>21.113745732182977</v>
      </c>
      <c r="F19" s="145">
        <v>23.22512030540128</v>
      </c>
      <c r="G19" s="144">
        <f t="shared" si="3"/>
        <v>24.885666438568023</v>
      </c>
      <c r="H19" s="144">
        <f t="shared" si="3"/>
        <v>26.724513474837295</v>
      </c>
      <c r="I19" s="144">
        <f t="shared" si="3"/>
        <v>28.563360511107021</v>
      </c>
      <c r="J19" s="144">
        <f t="shared" si="3"/>
        <v>30.402207547376292</v>
      </c>
      <c r="K19" s="144">
        <f t="shared" si="3"/>
        <v>32.241054583646019</v>
      </c>
      <c r="L19" s="144">
        <f t="shared" si="3"/>
        <v>34.07990161991529</v>
      </c>
      <c r="M19" s="144">
        <f t="shared" si="3"/>
        <v>35.918748656185016</v>
      </c>
      <c r="N19" s="144">
        <f t="shared" si="3"/>
        <v>37.757595692454288</v>
      </c>
      <c r="O19" s="144">
        <f t="shared" si="3"/>
        <v>39.596442728723559</v>
      </c>
      <c r="P19" s="144">
        <f t="shared" si="3"/>
        <v>41.435289764993286</v>
      </c>
      <c r="Q19" s="144">
        <f t="shared" si="4"/>
        <v>43.274136801262557</v>
      </c>
      <c r="R19" s="144">
        <f t="shared" si="4"/>
        <v>45.112983837532283</v>
      </c>
      <c r="S19" s="144">
        <f t="shared" si="4"/>
        <v>46.951830873801555</v>
      </c>
      <c r="T19" s="144">
        <f t="shared" si="4"/>
        <v>48.790677910070826</v>
      </c>
      <c r="U19" s="144">
        <f t="shared" si="4"/>
        <v>50.629524946340553</v>
      </c>
      <c r="V19" s="144">
        <f t="shared" si="4"/>
        <v>52.468371982609824</v>
      </c>
      <c r="W19" s="144">
        <f t="shared" si="4"/>
        <v>54.30721901887955</v>
      </c>
      <c r="X19" s="144">
        <f t="shared" si="4"/>
        <v>56.146066055148822</v>
      </c>
      <c r="Y19" s="144">
        <f t="shared" si="4"/>
        <v>57.984913091418548</v>
      </c>
      <c r="Z19" s="144">
        <f t="shared" si="4"/>
        <v>59.823760127687819</v>
      </c>
      <c r="AA19" s="144">
        <f t="shared" si="4"/>
        <v>61.662607163957091</v>
      </c>
      <c r="AB19" s="144">
        <f t="shared" si="4"/>
        <v>63.501454200226817</v>
      </c>
      <c r="AC19" s="144">
        <f t="shared" si="4"/>
        <v>65.340301236496089</v>
      </c>
      <c r="AD19" s="144">
        <f t="shared" si="4"/>
        <v>67.179148272765815</v>
      </c>
      <c r="AE19" s="144">
        <f t="shared" si="4"/>
        <v>69.017995309035086</v>
      </c>
      <c r="AF19" s="144">
        <f t="shared" si="5"/>
        <v>70.856842345304358</v>
      </c>
      <c r="AG19" s="144">
        <f t="shared" si="5"/>
        <v>72.695689381574084</v>
      </c>
      <c r="AH19" s="144">
        <f t="shared" si="5"/>
        <v>74.534536417843356</v>
      </c>
      <c r="AI19" s="144">
        <f t="shared" si="5"/>
        <v>76.373383454113082</v>
      </c>
    </row>
    <row r="20" spans="1:35" ht="14.4">
      <c r="A20" s="39" t="s">
        <v>534</v>
      </c>
      <c r="B20" s="208"/>
      <c r="C20" s="208">
        <v>114</v>
      </c>
      <c r="D20" s="231">
        <f>$C$20*(1+'User Dashboard'!$J$8)^(Emissions!D$17-2020)</f>
        <v>122.57659999999998</v>
      </c>
      <c r="E20" s="231">
        <f>$C$20*(1+'User Dashboard'!$J$8)^(Emissions!E$17-2020)</f>
        <v>131.79844620666665</v>
      </c>
      <c r="F20" s="231">
        <f>$C$20*(1+'User Dashboard'!$J$8)^(Emissions!F$17-2020)</f>
        <v>141.7140826429482</v>
      </c>
      <c r="G20" s="231">
        <f>$C$20*(1+'User Dashboard'!$J$8)^(Emissions!G$17-2020)</f>
        <v>152.37570546045268</v>
      </c>
      <c r="H20" s="231">
        <f>$C$20*(1+'User Dashboard'!$J$8)^(Emissions!H$17-2020)</f>
        <v>163.83943770126069</v>
      </c>
      <c r="I20" s="231">
        <f>$C$20*(1+'User Dashboard'!$J$8)^(Emissions!I$17-2020)</f>
        <v>176.16562473098554</v>
      </c>
      <c r="J20" s="231">
        <f>$C$20*(1+'User Dashboard'!$J$8)^(Emissions!J$17-2020)</f>
        <v>189.4191518982467</v>
      </c>
      <c r="K20" s="231">
        <f>$C$20*(1+'User Dashboard'!$J$8)^(Emissions!K$17-2020)</f>
        <v>203.66978609272476</v>
      </c>
      <c r="L20" s="231">
        <f>$C$20*(1+'User Dashboard'!$J$8)^(Emissions!L$17-2020)</f>
        <v>218.99254299976741</v>
      </c>
      <c r="M20" s="231">
        <f>$C$20*(1+'User Dashboard'!$J$8)^(Emissions!M$17-2020)</f>
        <v>235.46808198478325</v>
      </c>
      <c r="N20" s="231">
        <f>$C$20*(1+'User Dashboard'!$J$8)^(Emissions!N$17-2020)</f>
        <v>253.1831306861051</v>
      </c>
      <c r="O20" s="231">
        <f>$C$20*(1+'User Dashboard'!$J$8)^(Emissions!O$17-2020)</f>
        <v>272.23094155138972</v>
      </c>
      <c r="P20" s="231">
        <f>$C$20*(1+'User Dashboard'!$J$8)^(Emissions!P$17-2020)</f>
        <v>292.71178272077259</v>
      </c>
      <c r="Q20" s="231">
        <f>$C$20*(1+'User Dashboard'!$J$8)^(Emissions!Q$17-2020)</f>
        <v>314.73346584079871</v>
      </c>
      <c r="R20" s="231">
        <f>$C$20*(1+'User Dashboard'!$J$8)^(Emissions!R$17-2020)</f>
        <v>338.41191358755475</v>
      </c>
      <c r="S20" s="231">
        <f>$C$20*(1+'User Dashboard'!$J$8)^(Emissions!S$17-2020)</f>
        <v>363.87176988645848</v>
      </c>
      <c r="T20" s="231">
        <f>$C$20*(1+'User Dashboard'!$J$8)^(Emissions!T$17-2020)</f>
        <v>391.24705604091633</v>
      </c>
      <c r="U20" s="231">
        <f>$C$20*(1+'User Dashboard'!$J$8)^(Emissions!U$17-2020)</f>
        <v>420.68187622372795</v>
      </c>
      <c r="V20" s="231">
        <f>$C$20*(1+'User Dashboard'!$J$8)^(Emissions!V$17-2020)</f>
        <v>452.3311760449597</v>
      </c>
      <c r="W20" s="231">
        <f>$C$20*(1+'User Dashboard'!$J$8)^(Emissions!W$17-2020)</f>
        <v>486.36155818940881</v>
      </c>
      <c r="X20" s="231">
        <f>$C$20*(1+'User Dashboard'!$J$8)^(Emissions!X$17-2020)</f>
        <v>522.95215941719187</v>
      </c>
      <c r="Y20" s="231">
        <f>$C$20*(1+'User Dashboard'!$J$8)^(Emissions!Y$17-2020)</f>
        <v>562.29559354401204</v>
      </c>
      <c r="Z20" s="231">
        <f>$C$20*(1+'User Dashboard'!$J$8)^(Emissions!Z$17-2020)</f>
        <v>604.5989653649732</v>
      </c>
      <c r="AA20" s="231">
        <f>$C$20*(1+'User Dashboard'!$J$8)^(Emissions!AA$17-2020)</f>
        <v>650.0849608592647</v>
      </c>
      <c r="AB20" s="231">
        <f>$C$20*(1+'User Dashboard'!$J$8)^(Emissions!AB$17-2020)</f>
        <v>698.99301941457657</v>
      </c>
      <c r="AC20" s="231">
        <f>$C$20*(1+'User Dashboard'!$J$8)^(Emissions!AC$17-2020)</f>
        <v>751.58059424186649</v>
      </c>
      <c r="AD20" s="231">
        <f>$C$20*(1+'User Dashboard'!$J$8)^(Emissions!AD$17-2020)</f>
        <v>808.12450761532966</v>
      </c>
      <c r="AE20" s="231">
        <f>$C$20*(1+'User Dashboard'!$J$8)^(Emissions!AE$17-2020)</f>
        <v>868.92240807158953</v>
      </c>
      <c r="AF20" s="231">
        <f>$C$20*(1+'User Dashboard'!$J$8)^(Emissions!AF$17-2020)</f>
        <v>934.29433723884199</v>
      </c>
      <c r="AG20" s="231">
        <f>$C$20*(1+'User Dashboard'!$J$8)^(Emissions!AG$17-2020)</f>
        <v>1004.5844145437777</v>
      </c>
      <c r="AH20" s="231">
        <f>$C$20*(1+'User Dashboard'!$J$8)^(Emissions!AH$17-2020)</f>
        <v>1080.162648664621</v>
      </c>
      <c r="AI20" s="231">
        <f>$C$20*(1+'User Dashboard'!$J$8)^(Emissions!AI$17-2020)</f>
        <v>1161.4268852658229</v>
      </c>
    </row>
    <row r="21" spans="1:35">
      <c r="A21" s="40"/>
      <c r="B21" s="56"/>
      <c r="C21" s="58"/>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row>
    <row r="22" spans="1:35">
      <c r="A22" s="40"/>
      <c r="B22" s="58"/>
      <c r="E22" s="38"/>
      <c r="F22" s="38"/>
    </row>
    <row r="23" spans="1:35">
      <c r="A23" s="40"/>
      <c r="E23" s="38"/>
      <c r="F23" s="38"/>
    </row>
    <row r="24" spans="1:35">
      <c r="A24" s="40"/>
      <c r="E24" s="38"/>
      <c r="F24" s="38"/>
    </row>
    <row r="25" spans="1:35">
      <c r="A25" s="40"/>
      <c r="E25" s="38"/>
      <c r="F25" s="38"/>
    </row>
    <row r="26" spans="1:35">
      <c r="A26" s="40"/>
      <c r="E26" s="38"/>
      <c r="F26" s="38"/>
    </row>
    <row r="27" spans="1:35">
      <c r="B27" s="44"/>
      <c r="C27" s="44"/>
      <c r="D27" s="44"/>
      <c r="E27" s="44"/>
      <c r="F27" s="44"/>
      <c r="G27" s="44"/>
      <c r="H27" s="44"/>
      <c r="I27" s="44"/>
      <c r="J27" s="44"/>
      <c r="K27" s="44"/>
      <c r="L27" s="44"/>
      <c r="M27" s="44"/>
      <c r="N27" s="44"/>
      <c r="O27" s="44"/>
      <c r="P27" s="44"/>
      <c r="Q27" s="44"/>
      <c r="R27" s="44"/>
      <c r="S27" s="44"/>
      <c r="T27" s="44"/>
      <c r="U27" s="44"/>
    </row>
    <row r="29" spans="1:35">
      <c r="A29" s="41"/>
      <c r="B29" s="42"/>
      <c r="C29" s="43"/>
      <c r="D29" s="43"/>
      <c r="E29" s="43"/>
      <c r="F29" s="43"/>
      <c r="G29" s="43"/>
      <c r="H29" s="43"/>
      <c r="I29" s="43"/>
      <c r="J29" s="43"/>
      <c r="K29" s="43"/>
      <c r="L29" s="43"/>
      <c r="M29" s="43"/>
      <c r="N29" s="43"/>
      <c r="O29" s="43"/>
      <c r="P29" s="43"/>
      <c r="Q29" s="43"/>
      <c r="R29" s="43"/>
      <c r="S29" s="43"/>
      <c r="T29" s="43"/>
      <c r="U29" s="43"/>
    </row>
    <row r="30" spans="1:35">
      <c r="B30" s="44"/>
      <c r="C30" s="44"/>
      <c r="D30" s="44"/>
      <c r="E30" s="44"/>
      <c r="F30" s="44"/>
      <c r="G30" s="44"/>
      <c r="H30" s="44"/>
      <c r="I30" s="44"/>
      <c r="J30" s="44"/>
      <c r="K30" s="44"/>
      <c r="L30" s="44"/>
      <c r="M30" s="44"/>
      <c r="N30" s="44"/>
      <c r="O30" s="44"/>
      <c r="P30" s="44"/>
      <c r="Q30" s="44"/>
      <c r="R30" s="44"/>
      <c r="S30" s="44"/>
      <c r="T30" s="44"/>
      <c r="U30" s="44"/>
    </row>
    <row r="31" spans="1:35">
      <c r="B31" s="44"/>
      <c r="C31" s="44"/>
      <c r="D31" s="44"/>
      <c r="E31" s="44"/>
      <c r="F31" s="44"/>
      <c r="G31" s="44"/>
      <c r="H31" s="44"/>
      <c r="I31" s="44"/>
      <c r="J31" s="44"/>
      <c r="K31" s="44"/>
      <c r="L31" s="44"/>
      <c r="M31" s="44"/>
      <c r="N31" s="44"/>
      <c r="O31" s="44"/>
      <c r="P31" s="44"/>
      <c r="Q31" s="44"/>
      <c r="R31" s="44"/>
      <c r="S31" s="44"/>
      <c r="T31" s="44"/>
      <c r="U31" s="44"/>
    </row>
    <row r="32" spans="1:35">
      <c r="B32" s="44"/>
      <c r="C32" s="44"/>
      <c r="D32" s="44"/>
      <c r="E32" s="44"/>
      <c r="F32" s="44"/>
      <c r="G32" s="44"/>
      <c r="H32" s="44"/>
      <c r="I32" s="44"/>
      <c r="J32" s="44"/>
      <c r="K32" s="44"/>
      <c r="L32" s="44"/>
      <c r="M32" s="44"/>
      <c r="N32" s="44"/>
      <c r="O32" s="44"/>
      <c r="P32" s="44"/>
      <c r="Q32" s="44"/>
      <c r="R32" s="44"/>
      <c r="S32" s="44"/>
      <c r="T32" s="44"/>
      <c r="U32" s="44"/>
    </row>
    <row r="34" spans="1:21">
      <c r="A34" s="41"/>
      <c r="B34" s="42"/>
      <c r="C34" s="43"/>
      <c r="D34" s="43"/>
      <c r="E34" s="43"/>
      <c r="F34" s="43"/>
      <c r="G34" s="43"/>
      <c r="H34" s="43"/>
      <c r="I34" s="43"/>
      <c r="J34" s="43"/>
      <c r="K34" s="43"/>
      <c r="L34" s="43"/>
      <c r="M34" s="43"/>
      <c r="N34" s="43"/>
      <c r="O34" s="43"/>
      <c r="P34" s="43"/>
      <c r="Q34" s="43"/>
      <c r="R34" s="43"/>
      <c r="S34" s="43"/>
      <c r="T34" s="43"/>
      <c r="U34" s="43"/>
    </row>
    <row r="35" spans="1:21">
      <c r="B35" s="44"/>
      <c r="C35" s="44"/>
      <c r="D35" s="44"/>
      <c r="E35" s="44"/>
      <c r="F35" s="44"/>
      <c r="G35" s="44"/>
      <c r="H35" s="44"/>
      <c r="I35" s="44"/>
      <c r="J35" s="44"/>
      <c r="K35" s="44"/>
      <c r="L35" s="44"/>
      <c r="M35" s="44"/>
      <c r="N35" s="44"/>
      <c r="O35" s="44"/>
      <c r="P35" s="44"/>
      <c r="Q35" s="44"/>
      <c r="R35" s="44"/>
      <c r="S35" s="44"/>
      <c r="T35" s="44"/>
      <c r="U35" s="44"/>
    </row>
    <row r="36" spans="1:21">
      <c r="B36" s="44"/>
      <c r="C36" s="44"/>
      <c r="D36" s="44"/>
      <c r="E36" s="44"/>
      <c r="F36" s="44"/>
      <c r="G36" s="44"/>
      <c r="H36" s="44"/>
      <c r="I36" s="44"/>
      <c r="J36" s="44"/>
      <c r="K36" s="44"/>
      <c r="L36" s="44"/>
      <c r="M36" s="44"/>
      <c r="N36" s="44"/>
      <c r="O36" s="44"/>
      <c r="P36" s="44"/>
      <c r="Q36" s="44"/>
      <c r="R36" s="44"/>
      <c r="S36" s="44"/>
      <c r="T36" s="44"/>
      <c r="U36" s="44"/>
    </row>
    <row r="37" spans="1:21">
      <c r="B37" s="44"/>
      <c r="C37" s="44"/>
      <c r="D37" s="44"/>
      <c r="E37" s="44"/>
      <c r="F37" s="44"/>
      <c r="G37" s="44"/>
      <c r="H37" s="44"/>
      <c r="I37" s="44"/>
      <c r="J37" s="44"/>
      <c r="K37" s="44"/>
      <c r="L37" s="44"/>
      <c r="M37" s="44"/>
      <c r="N37" s="44"/>
      <c r="O37" s="44"/>
      <c r="P37" s="44"/>
      <c r="Q37" s="44"/>
      <c r="R37" s="44"/>
      <c r="S37" s="44"/>
      <c r="T37" s="44"/>
      <c r="U37" s="44"/>
    </row>
  </sheetData>
  <mergeCells count="1">
    <mergeCell ref="A1:G2"/>
  </mergeCells>
  <phoneticPr fontId="1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8BA7-6735-479B-A6BB-2A7CAFED13C3}">
  <sheetPr codeName="Sheet15">
    <tabColor theme="5"/>
  </sheetPr>
  <dimension ref="B2:D22"/>
  <sheetViews>
    <sheetView workbookViewId="0">
      <selection activeCell="B36" sqref="B36"/>
    </sheetView>
  </sheetViews>
  <sheetFormatPr defaultColWidth="8.44140625" defaultRowHeight="14.4"/>
  <cols>
    <col min="1" max="1" width="8.44140625" style="108"/>
    <col min="2" max="2" width="45.44140625" style="108" customWidth="1"/>
    <col min="3" max="3" width="22" style="108" customWidth="1"/>
    <col min="4" max="4" width="85.33203125" style="108" bestFit="1" customWidth="1"/>
    <col min="5" max="16384" width="8.44140625" style="108"/>
  </cols>
  <sheetData>
    <row r="2" spans="2:4">
      <c r="B2" s="106" t="s">
        <v>407</v>
      </c>
      <c r="C2" s="106"/>
      <c r="D2" s="107"/>
    </row>
    <row r="3" spans="2:4">
      <c r="B3" s="107" t="s">
        <v>408</v>
      </c>
      <c r="C3" s="107" t="s">
        <v>409</v>
      </c>
      <c r="D3" s="107" t="s">
        <v>410</v>
      </c>
    </row>
    <row r="4" spans="2:4" ht="43.2">
      <c r="B4" s="109" t="s">
        <v>411</v>
      </c>
      <c r="C4" s="147">
        <f>5.57%*$C$13/$C$11</f>
        <v>5.57E-2</v>
      </c>
      <c r="D4" s="110" t="s">
        <v>412</v>
      </c>
    </row>
    <row r="5" spans="2:4">
      <c r="B5" s="109" t="s">
        <v>413</v>
      </c>
      <c r="C5" s="147">
        <f>3.78%*$C$13/$C$11</f>
        <v>3.78E-2</v>
      </c>
      <c r="D5" s="111" t="s">
        <v>414</v>
      </c>
    </row>
    <row r="8" spans="2:4">
      <c r="B8" s="112" t="s">
        <v>415</v>
      </c>
      <c r="C8" s="113" t="s">
        <v>416</v>
      </c>
      <c r="D8" s="204" t="s">
        <v>458</v>
      </c>
    </row>
    <row r="10" spans="2:4">
      <c r="B10" s="269" t="s">
        <v>417</v>
      </c>
      <c r="C10" s="269"/>
    </row>
    <row r="11" spans="2:4">
      <c r="B11" s="114" t="s">
        <v>416</v>
      </c>
      <c r="C11" s="115">
        <v>25</v>
      </c>
    </row>
    <row r="12" spans="2:4">
      <c r="B12" s="114" t="s">
        <v>418</v>
      </c>
      <c r="C12" s="115">
        <v>72</v>
      </c>
    </row>
    <row r="13" spans="2:4">
      <c r="B13" s="116" t="s">
        <v>419</v>
      </c>
      <c r="C13" s="116">
        <f>INDEX(C11:C12,MATCH(C8,B11:B12,0))</f>
        <v>25</v>
      </c>
    </row>
    <row r="22" spans="3:3">
      <c r="C22" s="117"/>
    </row>
  </sheetData>
  <mergeCells count="1">
    <mergeCell ref="B10:C10"/>
  </mergeCells>
  <dataValidations count="1">
    <dataValidation type="list" allowBlank="1" showInputMessage="1" showErrorMessage="1" sqref="C8" xr:uid="{F2B4D3A4-0D21-4A84-8A1F-6CF80799575A}">
      <formula1>$B$11:$B$12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sheetPr>
  <dimension ref="A1:L13"/>
  <sheetViews>
    <sheetView workbookViewId="0">
      <selection activeCell="I35" sqref="I35"/>
    </sheetView>
  </sheetViews>
  <sheetFormatPr defaultColWidth="9" defaultRowHeight="14.4"/>
  <cols>
    <col min="1" max="1" width="9" style="15"/>
    <col min="2" max="2" width="18.6640625" style="15" customWidth="1"/>
    <col min="3" max="5" width="9" style="15"/>
    <col min="6" max="6" width="11.6640625" style="15" bestFit="1" customWidth="1"/>
    <col min="7" max="9" width="9" style="15"/>
    <col min="10" max="10" width="30" style="15" customWidth="1"/>
    <col min="11" max="16384" width="9" style="15"/>
  </cols>
  <sheetData>
    <row r="1" spans="1:12">
      <c r="A1" s="15" t="s">
        <v>79</v>
      </c>
    </row>
    <row r="3" spans="1:12">
      <c r="B3" s="14" t="s">
        <v>80</v>
      </c>
      <c r="C3" s="14"/>
      <c r="D3" s="14"/>
      <c r="E3" s="14"/>
      <c r="F3" s="14"/>
      <c r="G3" s="14"/>
      <c r="H3" s="14"/>
      <c r="I3" s="14"/>
      <c r="J3" s="14"/>
      <c r="L3" s="59"/>
    </row>
    <row r="4" spans="1:12">
      <c r="F4" s="15" t="s">
        <v>84</v>
      </c>
      <c r="G4" s="25" t="s">
        <v>85</v>
      </c>
      <c r="H4" s="15" t="s">
        <v>83</v>
      </c>
    </row>
    <row r="5" spans="1:12">
      <c r="B5" s="15" t="s">
        <v>102</v>
      </c>
      <c r="F5" s="220">
        <f>(References!B4+References!B5)/F9</f>
        <v>1.7129999999999999E-2</v>
      </c>
      <c r="G5" s="15">
        <v>2018</v>
      </c>
      <c r="H5" s="15" t="s">
        <v>528</v>
      </c>
      <c r="J5" s="15" t="s">
        <v>402</v>
      </c>
      <c r="K5" s="15" t="s">
        <v>401</v>
      </c>
    </row>
    <row r="6" spans="1:12">
      <c r="B6" s="15" t="s">
        <v>103</v>
      </c>
      <c r="F6" s="220">
        <f>References!B6/F9</f>
        <v>0.10058</v>
      </c>
      <c r="G6" s="15">
        <v>2018</v>
      </c>
      <c r="H6" s="15" t="s">
        <v>528</v>
      </c>
      <c r="J6" s="15" t="s">
        <v>403</v>
      </c>
    </row>
    <row r="7" spans="1:12">
      <c r="B7" s="15" t="s">
        <v>104</v>
      </c>
      <c r="F7" s="220">
        <f>(References!B7+References!B8)/F9</f>
        <v>4.6820000000000001E-2</v>
      </c>
      <c r="G7" s="15">
        <v>2018</v>
      </c>
      <c r="H7" s="15" t="s">
        <v>528</v>
      </c>
      <c r="J7" s="15" t="s">
        <v>400</v>
      </c>
    </row>
    <row r="8" spans="1:12">
      <c r="B8" s="19" t="s">
        <v>78</v>
      </c>
      <c r="F8" s="149">
        <v>0.02</v>
      </c>
      <c r="J8" s="15" t="s">
        <v>399</v>
      </c>
    </row>
    <row r="9" spans="1:12">
      <c r="B9" s="224" t="s">
        <v>32</v>
      </c>
      <c r="F9" s="150">
        <v>10</v>
      </c>
    </row>
    <row r="10" spans="1:12" ht="15.75" customHeight="1">
      <c r="B10" s="24" t="s">
        <v>62</v>
      </c>
      <c r="C10" s="24"/>
      <c r="D10" s="24"/>
      <c r="E10" s="24"/>
      <c r="F10" s="24"/>
      <c r="G10" s="24"/>
      <c r="H10" s="24"/>
      <c r="I10" s="24"/>
      <c r="J10" s="24"/>
    </row>
    <row r="11" spans="1:12">
      <c r="B11" s="26"/>
      <c r="C11" s="26"/>
      <c r="D11" s="27" t="s">
        <v>1</v>
      </c>
      <c r="E11" s="27" t="s">
        <v>26</v>
      </c>
      <c r="F11" s="27" t="s">
        <v>2</v>
      </c>
      <c r="G11" s="26"/>
      <c r="H11" s="26"/>
    </row>
    <row r="12" spans="1:12">
      <c r="B12" s="28" t="s">
        <v>34</v>
      </c>
      <c r="D12" s="148">
        <v>0</v>
      </c>
      <c r="E12" s="148">
        <v>3.8999999999999998E-3</v>
      </c>
      <c r="F12" s="148">
        <v>4.0000000000000001E-3</v>
      </c>
      <c r="G12" s="26"/>
      <c r="H12" s="64"/>
    </row>
    <row r="13" spans="1:12">
      <c r="B13" s="28" t="s">
        <v>33</v>
      </c>
      <c r="D13" s="151">
        <v>2.41E-2</v>
      </c>
      <c r="E13" s="151">
        <v>1.37E-2</v>
      </c>
      <c r="F13" s="151">
        <v>0.01</v>
      </c>
      <c r="G13" s="26"/>
      <c r="H13" s="26"/>
    </row>
  </sheetData>
  <phoneticPr fontId="34" type="noConversion"/>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0AAD-68A9-4862-AF18-628B9F6577A2}">
  <sheetPr>
    <tabColor theme="5"/>
  </sheetPr>
  <dimension ref="A3:J63"/>
  <sheetViews>
    <sheetView zoomScale="68" zoomScaleNormal="68" workbookViewId="0">
      <selection activeCell="D37" sqref="D37"/>
    </sheetView>
  </sheetViews>
  <sheetFormatPr defaultRowHeight="14.4"/>
  <cols>
    <col min="1" max="1" width="19.6640625" bestFit="1" customWidth="1"/>
    <col min="2" max="2" width="33" style="26" bestFit="1" customWidth="1"/>
    <col min="3" max="3" width="44.5546875" style="26" bestFit="1" customWidth="1"/>
    <col min="4" max="4" width="60.6640625" style="26" bestFit="1" customWidth="1"/>
    <col min="5" max="5" width="36" style="26" bestFit="1" customWidth="1"/>
    <col min="6" max="6" width="56.21875" style="26" bestFit="1" customWidth="1"/>
    <col min="7" max="7" width="47.44140625" style="26" bestFit="1" customWidth="1"/>
    <col min="8" max="8" width="37.21875" style="26" bestFit="1" customWidth="1"/>
    <col min="9" max="9" width="58" style="26" bestFit="1" customWidth="1"/>
    <col min="10" max="10" width="28.77734375" style="26" bestFit="1" customWidth="1"/>
    <col min="11" max="11" width="26.21875" bestFit="1" customWidth="1"/>
    <col min="12" max="12" width="17.6640625" bestFit="1" customWidth="1"/>
    <col min="13" max="13" width="31.33203125" bestFit="1" customWidth="1"/>
  </cols>
  <sheetData>
    <row r="3" spans="2:10">
      <c r="B3" s="48" t="s">
        <v>476</v>
      </c>
      <c r="C3" s="14"/>
      <c r="D3" s="14"/>
      <c r="E3" s="14"/>
      <c r="F3" s="14"/>
      <c r="G3" s="14"/>
      <c r="H3" s="14"/>
      <c r="I3" s="14"/>
      <c r="J3" s="14"/>
    </row>
    <row r="4" spans="2:10">
      <c r="B4" s="239"/>
      <c r="C4" s="80"/>
      <c r="D4" s="80"/>
      <c r="E4" s="80"/>
      <c r="F4" s="80"/>
      <c r="G4" s="80"/>
      <c r="H4" s="80"/>
      <c r="I4" s="80"/>
      <c r="J4" s="80"/>
    </row>
    <row r="5" spans="2:10">
      <c r="B5" s="176" t="s">
        <v>495</v>
      </c>
      <c r="C5" s="250">
        <v>2021</v>
      </c>
    </row>
    <row r="6" spans="2:10">
      <c r="B6" s="176" t="s">
        <v>94</v>
      </c>
      <c r="C6" s="251">
        <f>'User Dashboard'!$J$11</f>
        <v>0.02</v>
      </c>
    </row>
    <row r="8" spans="2:10">
      <c r="B8" s="249" t="s">
        <v>479</v>
      </c>
      <c r="C8" s="249" t="s">
        <v>23</v>
      </c>
      <c r="D8" s="249" t="s">
        <v>477</v>
      </c>
      <c r="E8" s="249" t="s">
        <v>478</v>
      </c>
      <c r="F8" s="249" t="s">
        <v>493</v>
      </c>
      <c r="G8" s="249" t="s">
        <v>530</v>
      </c>
      <c r="H8" s="249" t="s">
        <v>531</v>
      </c>
      <c r="J8"/>
    </row>
    <row r="9" spans="2:10">
      <c r="B9" s="248" t="s">
        <v>497</v>
      </c>
      <c r="C9" s="248" t="s">
        <v>1</v>
      </c>
      <c r="D9" s="248" t="s">
        <v>484</v>
      </c>
      <c r="E9" s="248" t="s">
        <v>487</v>
      </c>
      <c r="F9" s="248">
        <v>1</v>
      </c>
      <c r="G9" s="248">
        <v>1</v>
      </c>
      <c r="H9" s="248">
        <v>1</v>
      </c>
      <c r="J9"/>
    </row>
    <row r="10" spans="2:10">
      <c r="B10" s="233" t="s">
        <v>498</v>
      </c>
      <c r="C10" s="233" t="s">
        <v>21</v>
      </c>
      <c r="D10" s="248" t="s">
        <v>484</v>
      </c>
      <c r="E10" s="248" t="s">
        <v>487</v>
      </c>
      <c r="F10" s="233">
        <v>1</v>
      </c>
      <c r="G10" s="248">
        <v>1</v>
      </c>
      <c r="H10" s="248">
        <v>1</v>
      </c>
      <c r="J10"/>
    </row>
    <row r="11" spans="2:10">
      <c r="B11" s="233" t="s">
        <v>499</v>
      </c>
      <c r="C11" s="233" t="s">
        <v>2</v>
      </c>
      <c r="D11" s="248" t="s">
        <v>484</v>
      </c>
      <c r="E11" s="248" t="s">
        <v>487</v>
      </c>
      <c r="F11" s="233">
        <v>1</v>
      </c>
      <c r="G11" s="248">
        <v>1</v>
      </c>
      <c r="H11" s="248">
        <v>1</v>
      </c>
      <c r="J11"/>
    </row>
    <row r="12" spans="2:10">
      <c r="B12" s="233"/>
      <c r="C12" s="233"/>
      <c r="D12" s="233"/>
      <c r="E12" s="233"/>
      <c r="F12" s="233"/>
      <c r="G12" s="233"/>
      <c r="H12" s="233"/>
      <c r="J12"/>
    </row>
    <row r="13" spans="2:10">
      <c r="B13" s="233"/>
      <c r="C13" s="233"/>
      <c r="D13" s="233"/>
      <c r="E13" s="233"/>
      <c r="F13" s="233"/>
      <c r="G13" s="233"/>
      <c r="H13" s="233"/>
      <c r="J13"/>
    </row>
    <row r="14" spans="2:10">
      <c r="B14" s="233"/>
      <c r="C14" s="233"/>
      <c r="D14" s="233"/>
      <c r="E14" s="233"/>
      <c r="F14" s="233"/>
      <c r="G14" s="233"/>
      <c r="H14" s="233"/>
      <c r="J14"/>
    </row>
    <row r="15" spans="2:10">
      <c r="B15" s="233"/>
      <c r="C15" s="233"/>
      <c r="D15" s="233"/>
      <c r="E15" s="233"/>
      <c r="F15" s="233"/>
      <c r="G15" s="233"/>
      <c r="H15" s="233"/>
      <c r="J15"/>
    </row>
    <row r="16" spans="2:10">
      <c r="B16" s="233"/>
      <c r="C16" s="233"/>
      <c r="D16" s="233"/>
      <c r="E16" s="233"/>
      <c r="F16" s="233"/>
      <c r="G16" s="233"/>
      <c r="H16" s="233"/>
      <c r="J16"/>
    </row>
    <row r="17" spans="1:10">
      <c r="B17" s="233"/>
      <c r="C17" s="233"/>
      <c r="D17" s="233"/>
      <c r="E17" s="233"/>
      <c r="F17" s="233"/>
      <c r="G17" s="233"/>
      <c r="H17" s="233"/>
      <c r="J17"/>
    </row>
    <row r="18" spans="1:10">
      <c r="B18" s="233"/>
      <c r="C18" s="233"/>
      <c r="D18" s="233"/>
      <c r="E18" s="233"/>
      <c r="F18" s="233"/>
      <c r="G18" s="233"/>
      <c r="H18" s="233"/>
      <c r="J18"/>
    </row>
    <row r="21" spans="1:10">
      <c r="B21" s="48" t="s">
        <v>491</v>
      </c>
      <c r="C21" s="14"/>
      <c r="D21" s="14"/>
      <c r="E21" s="14"/>
      <c r="F21" s="14"/>
      <c r="G21" s="14"/>
      <c r="H21" s="14"/>
      <c r="I21" s="14"/>
      <c r="J21" s="14"/>
    </row>
    <row r="23" spans="1:10">
      <c r="A23" s="243" t="s">
        <v>496</v>
      </c>
      <c r="B23" s="249" t="s">
        <v>479</v>
      </c>
      <c r="C23" s="249" t="str">
        <f>"Total Avoided Mainline Extension Costs ($" &amp;$C$5 &amp; ")"</f>
        <v>Total Avoided Mainline Extension Costs ($2021)</v>
      </c>
      <c r="D23" s="249" t="str">
        <f>"Total Avoided Service Extension Costs ($" &amp;$C$5 &amp; ")"</f>
        <v>Total Avoided Service Extension Costs ($2021)</v>
      </c>
      <c r="E23" s="249" t="str">
        <f>"Total Avoided Meter Costs ($" &amp;$C$5 &amp; ")"</f>
        <v>Total Avoided Meter Costs ($2021)</v>
      </c>
      <c r="F23" s="247" t="str">
        <f>"Total Avoided Gas Infrastructure Costs ($" &amp;$C$5 &amp; ")"</f>
        <v>Total Avoided Gas Infrastructure Costs ($2021)</v>
      </c>
      <c r="H23"/>
      <c r="I23"/>
      <c r="J23"/>
    </row>
    <row r="24" spans="1:10">
      <c r="A24" s="243">
        <f>IFERROR(INDEX($D$38:$F$38, MATCH($C9, $D$41:$F$41, 0)), "")</f>
        <v>2021</v>
      </c>
      <c r="B24" s="245" t="str">
        <f>IF(B9="", "", B9)</f>
        <v>Example_Project_Name_PGE</v>
      </c>
      <c r="C24" s="236" cm="1">
        <f t="array" ref="C24">IFERROR(INDEX($D$42:$F$45, MATCH(1, ($D9 = $B$42:$B$45)*($E9=$C$42:$C$45), 0), MATCH($C9, $D$41:$F$41, 0))*(1+$C$6)^($C$5-$A24), 0)*$F9</f>
        <v>85</v>
      </c>
      <c r="D24" s="236">
        <f>IFERROR(INDEX($D$50:$F$51, MATCH($D9, $B$50:$B$51, 0), MATCH($C9, $D$49:$F$49, 0)) *(1+$C$6)^($C$5-$A24), 0)*$G9</f>
        <v>2814</v>
      </c>
      <c r="E24" s="236" cm="1">
        <f t="array" ref="E24">IFERROR(INDEX($D$56:$F$63, MATCH(1, ($D9 = $B$56:$B$63)*($E9=$C$56:$C$63), 0), MATCH($C9, $D$55:$F$55, 0))*(1+$C$6)^($C$5-$A24), 0)*$H9</f>
        <v>590</v>
      </c>
      <c r="F24" s="246">
        <f>SUM($C24:$E24)</f>
        <v>3489</v>
      </c>
      <c r="H24"/>
      <c r="I24"/>
      <c r="J24"/>
    </row>
    <row r="25" spans="1:10">
      <c r="A25" s="243">
        <f t="shared" ref="A25:A33" si="0">IFERROR(INDEX($D$38:$F$38, MATCH($C10, $D$41:$F$41, 0)), "")</f>
        <v>2016</v>
      </c>
      <c r="B25" s="245" t="str">
        <f t="shared" ref="B25:B33" si="1">IF(B10="", "", B10)</f>
        <v>Example_Project_Name_SCG</v>
      </c>
      <c r="C25" s="236" cm="1">
        <f t="array" ref="C25">IFERROR(INDEX($D$42:$F$45, MATCH(1, ($D10 = $B$42:$B$45)*($E10=$C$42:$C$45), 0), MATCH($C10, $D$41:$F$41, 0))*(1+$C$6)^($C$5-$A25), 0)*$F10</f>
        <v>29.699773606079997</v>
      </c>
      <c r="D25" s="236">
        <f t="shared" ref="D25:D33" si="2">IFERROR(INDEX($D$50:$F$51, MATCH($D10, $B$50:$B$51, 0), MATCH($C10, $D$49:$F$49, 0)) *(1+$C$6)^($C$5-$A25), 0)*$G10</f>
        <v>1730.0946186144001</v>
      </c>
      <c r="E25" s="236" cm="1">
        <f t="array" ref="E25">IFERROR(INDEX($D$56:$F$63, MATCH(1, ($D10 = $B$56:$B$63)*($E10=$C$56:$C$63), 0), MATCH($C10, $D$55:$F$55, 0))*(1+$C$6)^($C$5-$A25), 0)*$H10</f>
        <v>230.7528878688</v>
      </c>
      <c r="F25" s="246">
        <f t="shared" ref="F25:F33" si="3">SUM($C25:$E25)</f>
        <v>1990.5472800892801</v>
      </c>
      <c r="H25"/>
      <c r="I25"/>
      <c r="J25"/>
    </row>
    <row r="26" spans="1:10">
      <c r="A26" s="243">
        <f t="shared" si="0"/>
        <v>2020</v>
      </c>
      <c r="B26" s="245" t="str">
        <f t="shared" si="1"/>
        <v>Example_Project_Name_SDGE</v>
      </c>
      <c r="C26" s="236" cm="1">
        <f t="array" ref="C26">IFERROR(INDEX($D$42:$F$45, MATCH(1, ($D11 = $B$42:$B$45)*($E11=$C$42:$C$45), 0), MATCH($C11, $D$41:$F$41, 0))*(1+$C$6)^($C$5-$A26), 0)*$F11</f>
        <v>38.69</v>
      </c>
      <c r="D26" s="236">
        <f t="shared" si="2"/>
        <v>1900.26</v>
      </c>
      <c r="E26" s="236" cm="1">
        <f t="array" ref="E26">IFERROR(INDEX($D$56:$F$63, MATCH(1, ($D11 = $B$56:$B$63)*($E11=$C$56:$C$63), 0), MATCH($C11, $D$55:$F$55, 0))*(1+$C$6)^($C$5-$A26), 0)*$H11</f>
        <v>264.18</v>
      </c>
      <c r="F26" s="246">
        <f t="shared" si="3"/>
        <v>2203.13</v>
      </c>
      <c r="H26"/>
      <c r="I26"/>
      <c r="J26"/>
    </row>
    <row r="27" spans="1:10">
      <c r="A27" s="243" t="str">
        <f t="shared" si="0"/>
        <v/>
      </c>
      <c r="B27" s="245" t="str">
        <f t="shared" si="1"/>
        <v/>
      </c>
      <c r="C27" s="236" cm="1">
        <f t="array" ref="C27">IFERROR(INDEX($D$42:$F$45, MATCH(1, ($D12 = $B$42:$B$45)*($E12=$C$42:$C$45), 0), MATCH($C12, $D$41:$F$41, 0))*(1+$C$6)^($C$5-$A27), 0)*$F12</f>
        <v>0</v>
      </c>
      <c r="D27" s="236">
        <f t="shared" si="2"/>
        <v>0</v>
      </c>
      <c r="E27" s="236" cm="1">
        <f t="array" ref="E27">IFERROR(INDEX($D$56:$F$63, MATCH(1, ($D12 = $B$56:$B$63)*($E12=$C$56:$C$63), 0), MATCH($C12, $D$55:$F$55, 0))*(1+$C$6)^($C$5-$A27), 0)*$H12</f>
        <v>0</v>
      </c>
      <c r="F27" s="246">
        <f t="shared" si="3"/>
        <v>0</v>
      </c>
      <c r="H27"/>
      <c r="I27"/>
      <c r="J27"/>
    </row>
    <row r="28" spans="1:10">
      <c r="A28" s="243" t="str">
        <f t="shared" si="0"/>
        <v/>
      </c>
      <c r="B28" s="245" t="str">
        <f t="shared" si="1"/>
        <v/>
      </c>
      <c r="C28" s="236" cm="1">
        <f t="array" ref="C28">IFERROR(INDEX($D$42:$F$45, MATCH(1, ($D13 = $B$42:$B$45)*($E13=$C$42:$C$45), 0), MATCH($C13, $D$41:$F$41, 0))*(1+$C$6)^($C$5-$A28), 0)*$F13</f>
        <v>0</v>
      </c>
      <c r="D28" s="236">
        <f t="shared" si="2"/>
        <v>0</v>
      </c>
      <c r="E28" s="236" cm="1">
        <f t="array" ref="E28">IFERROR(INDEX($D$56:$F$63, MATCH(1, ($D13 = $B$56:$B$63)*($E13=$C$56:$C$63), 0), MATCH($C13, $D$55:$F$55, 0))*(1+$C$6)^($C$5-$A28), 0)*$H13</f>
        <v>0</v>
      </c>
      <c r="F28" s="246">
        <f t="shared" si="3"/>
        <v>0</v>
      </c>
      <c r="H28"/>
      <c r="I28"/>
      <c r="J28"/>
    </row>
    <row r="29" spans="1:10">
      <c r="A29" s="243" t="str">
        <f t="shared" si="0"/>
        <v/>
      </c>
      <c r="B29" s="245" t="str">
        <f t="shared" si="1"/>
        <v/>
      </c>
      <c r="C29" s="236" cm="1">
        <f t="array" ref="C29">IFERROR(INDEX($D$42:$F$45, MATCH(1, ($D14 = $B$42:$B$45)*($E14=$C$42:$C$45), 0), MATCH($C14, $D$41:$F$41, 0))*(1+$C$6)^($C$5-$A29), 0)*$F14</f>
        <v>0</v>
      </c>
      <c r="D29" s="236">
        <f t="shared" si="2"/>
        <v>0</v>
      </c>
      <c r="E29" s="236" cm="1">
        <f t="array" ref="E29">IFERROR(INDEX($D$56:$F$63, MATCH(1, ($D14 = $B$56:$B$63)*($E14=$C$56:$C$63), 0), MATCH($C14, $D$55:$F$55, 0))*(1+$C$6)^($C$5-$A29), 0)*$H14</f>
        <v>0</v>
      </c>
      <c r="F29" s="246">
        <f t="shared" si="3"/>
        <v>0</v>
      </c>
      <c r="H29"/>
      <c r="I29"/>
      <c r="J29"/>
    </row>
    <row r="30" spans="1:10">
      <c r="A30" s="243" t="str">
        <f t="shared" si="0"/>
        <v/>
      </c>
      <c r="B30" s="245" t="str">
        <f t="shared" si="1"/>
        <v/>
      </c>
      <c r="C30" s="236" cm="1">
        <f t="array" ref="C30">IFERROR(INDEX($D$42:$F$45, MATCH(1, ($D15 = $B$42:$B$45)*($E15=$C$42:$C$45), 0), MATCH($C15, $D$41:$F$41, 0))*(1+$C$6)^($C$5-$A30), 0)*$F15</f>
        <v>0</v>
      </c>
      <c r="D30" s="236">
        <f t="shared" si="2"/>
        <v>0</v>
      </c>
      <c r="E30" s="236" cm="1">
        <f t="array" ref="E30">IFERROR(INDEX($D$56:$F$63, MATCH(1, ($D15 = $B$56:$B$63)*($E15=$C$56:$C$63), 0), MATCH($C15, $D$55:$F$55, 0))*(1+$C$6)^($C$5-$A30), 0)*$H15</f>
        <v>0</v>
      </c>
      <c r="F30" s="246">
        <f t="shared" si="3"/>
        <v>0</v>
      </c>
      <c r="H30"/>
      <c r="I30"/>
      <c r="J30"/>
    </row>
    <row r="31" spans="1:10">
      <c r="A31" s="243" t="str">
        <f t="shared" si="0"/>
        <v/>
      </c>
      <c r="B31" s="245" t="str">
        <f t="shared" si="1"/>
        <v/>
      </c>
      <c r="C31" s="236" cm="1">
        <f t="array" ref="C31">IFERROR(INDEX($D$42:$F$45, MATCH(1, ($D16 = $B$42:$B$45)*($E16=$C$42:$C$45), 0), MATCH($C16, $D$41:$F$41, 0))*(1+$C$6)^($C$5-$A31), 0)*$F16</f>
        <v>0</v>
      </c>
      <c r="D31" s="236">
        <f t="shared" si="2"/>
        <v>0</v>
      </c>
      <c r="E31" s="236" cm="1">
        <f t="array" ref="E31">IFERROR(INDEX($D$56:$F$63, MATCH(1, ($D16 = $B$56:$B$63)*($E16=$C$56:$C$63), 0), MATCH($C16, $D$55:$F$55, 0))*(1+$C$6)^($C$5-$A31), 0)*$H16</f>
        <v>0</v>
      </c>
      <c r="F31" s="246">
        <f t="shared" si="3"/>
        <v>0</v>
      </c>
      <c r="H31"/>
      <c r="I31"/>
      <c r="J31"/>
    </row>
    <row r="32" spans="1:10">
      <c r="A32" s="243" t="str">
        <f t="shared" si="0"/>
        <v/>
      </c>
      <c r="B32" s="245" t="str">
        <f t="shared" si="1"/>
        <v/>
      </c>
      <c r="C32" s="236" cm="1">
        <f t="array" ref="C32">IFERROR(INDEX($D$42:$F$45, MATCH(1, ($D17 = $B$42:$B$45)*($E17=$C$42:$C$45), 0), MATCH($C17, $D$41:$F$41, 0))*(1+$C$6)^($C$5-$A32), 0)*$F17</f>
        <v>0</v>
      </c>
      <c r="D32" s="236">
        <f t="shared" si="2"/>
        <v>0</v>
      </c>
      <c r="E32" s="236" cm="1">
        <f t="array" ref="E32">IFERROR(INDEX($D$56:$F$63, MATCH(1, ($D17 = $B$56:$B$63)*($E17=$C$56:$C$63), 0), MATCH($C17, $D$55:$F$55, 0))*(1+$C$6)^($C$5-$A32), 0)*$H17</f>
        <v>0</v>
      </c>
      <c r="F32" s="246">
        <f t="shared" si="3"/>
        <v>0</v>
      </c>
      <c r="H32"/>
      <c r="I32"/>
      <c r="J32"/>
    </row>
    <row r="33" spans="1:10">
      <c r="A33" s="243" t="str">
        <f t="shared" si="0"/>
        <v/>
      </c>
      <c r="B33" s="245" t="str">
        <f t="shared" si="1"/>
        <v/>
      </c>
      <c r="C33" s="236" cm="1">
        <f t="array" ref="C33">IFERROR(INDEX($D$42:$F$45, MATCH(1, ($D18 = $B$42:$B$45)*($E18=$C$42:$C$45), 0), MATCH($C18, $D$41:$F$41, 0))*(1+$C$6)^($C$5-$A33), 0)*$F18</f>
        <v>0</v>
      </c>
      <c r="D33" s="236">
        <f t="shared" si="2"/>
        <v>0</v>
      </c>
      <c r="E33" s="236" cm="1">
        <f t="array" ref="E33">IFERROR(INDEX($D$56:$F$63, MATCH(1, ($D18 = $B$56:$B$63)*($E18=$C$56:$C$63), 0), MATCH($C18, $D$55:$F$55, 0))*(1+$C$6)^($C$5-$A33), 0)*$H18</f>
        <v>0</v>
      </c>
      <c r="F33" s="246">
        <f t="shared" si="3"/>
        <v>0</v>
      </c>
      <c r="H33"/>
      <c r="I33"/>
      <c r="J33"/>
    </row>
    <row r="35" spans="1:10">
      <c r="E35" s="244"/>
    </row>
    <row r="36" spans="1:10">
      <c r="B36" s="48" t="s">
        <v>490</v>
      </c>
      <c r="C36" s="14"/>
      <c r="D36" s="14"/>
      <c r="E36" s="14"/>
      <c r="F36" s="14"/>
      <c r="G36" s="14"/>
      <c r="H36" s="14"/>
      <c r="I36" s="14"/>
      <c r="J36" s="14"/>
    </row>
    <row r="37" spans="1:10">
      <c r="B37" s="239"/>
      <c r="C37" s="80"/>
      <c r="D37" s="80"/>
      <c r="E37" s="80"/>
      <c r="F37" s="80"/>
      <c r="G37" s="80"/>
      <c r="H37" s="80"/>
      <c r="I37" s="80"/>
      <c r="J37" s="80"/>
    </row>
    <row r="38" spans="1:10">
      <c r="B38" s="241" t="s">
        <v>496</v>
      </c>
      <c r="C38" s="242"/>
      <c r="D38" s="238">
        <v>2021</v>
      </c>
      <c r="E38" s="238">
        <v>2016</v>
      </c>
      <c r="F38" s="238">
        <v>2020</v>
      </c>
      <c r="G38" s="80"/>
      <c r="H38" s="80"/>
      <c r="I38" s="80"/>
      <c r="J38" s="80"/>
    </row>
    <row r="39" spans="1:10">
      <c r="B39" s="240"/>
      <c r="C39" s="80"/>
      <c r="D39" s="238"/>
      <c r="E39" s="238"/>
      <c r="F39" s="238"/>
      <c r="G39" s="80"/>
      <c r="H39" s="80"/>
      <c r="I39" s="80"/>
      <c r="J39" s="80"/>
    </row>
    <row r="40" spans="1:10">
      <c r="B40" s="234" t="s">
        <v>519</v>
      </c>
      <c r="G40" s="244"/>
    </row>
    <row r="41" spans="1:10">
      <c r="B41" s="176" t="s">
        <v>482</v>
      </c>
      <c r="C41" s="176" t="s">
        <v>478</v>
      </c>
      <c r="D41" s="176" t="s">
        <v>1</v>
      </c>
      <c r="E41" s="176" t="s">
        <v>21</v>
      </c>
      <c r="F41" s="176" t="s">
        <v>2</v>
      </c>
    </row>
    <row r="42" spans="1:10">
      <c r="B42" s="235" t="s">
        <v>484</v>
      </c>
      <c r="C42" s="235" t="s">
        <v>487</v>
      </c>
      <c r="D42" s="237">
        <v>85</v>
      </c>
      <c r="E42" s="237">
        <v>26.9</v>
      </c>
      <c r="F42" s="237">
        <f>38.69*(1+$C$6)^(2020-2021)</f>
        <v>37.931372549019606</v>
      </c>
    </row>
    <row r="43" spans="1:10">
      <c r="B43" s="235" t="s">
        <v>484</v>
      </c>
      <c r="C43" s="235" t="s">
        <v>488</v>
      </c>
      <c r="D43" s="237">
        <v>54</v>
      </c>
      <c r="E43" s="237">
        <v>26.9</v>
      </c>
      <c r="F43" s="237">
        <f>38.69*(1+$C$6)^(2020-2021)</f>
        <v>37.931372549019606</v>
      </c>
    </row>
    <row r="44" spans="1:10">
      <c r="B44" s="235" t="s">
        <v>484</v>
      </c>
      <c r="C44" s="237" t="s">
        <v>492</v>
      </c>
      <c r="D44" s="237">
        <v>54</v>
      </c>
      <c r="E44" s="237">
        <v>26.9</v>
      </c>
      <c r="F44" s="237">
        <f t="shared" ref="F44:F45" si="4">38.69*(1+$C$6)^(2020-2021)</f>
        <v>37.931372549019606</v>
      </c>
    </row>
    <row r="45" spans="1:10">
      <c r="B45" s="235" t="s">
        <v>484</v>
      </c>
      <c r="C45" s="237" t="s">
        <v>489</v>
      </c>
      <c r="D45" s="237">
        <v>54</v>
      </c>
      <c r="E45" s="237">
        <v>26.9</v>
      </c>
      <c r="F45" s="237">
        <f t="shared" si="4"/>
        <v>37.931372549019606</v>
      </c>
    </row>
    <row r="47" spans="1:10">
      <c r="B47" s="234" t="s">
        <v>481</v>
      </c>
      <c r="E47" s="244"/>
    </row>
    <row r="49" spans="2:6">
      <c r="B49" s="253" t="s">
        <v>482</v>
      </c>
      <c r="C49" s="253"/>
      <c r="D49" s="176" t="s">
        <v>1</v>
      </c>
      <c r="E49" s="176" t="s">
        <v>21</v>
      </c>
      <c r="F49" s="176" t="s">
        <v>2</v>
      </c>
    </row>
    <row r="50" spans="2:6">
      <c r="B50" s="254" t="s">
        <v>483</v>
      </c>
      <c r="C50" s="255"/>
      <c r="D50" s="252">
        <v>7187</v>
      </c>
      <c r="E50" s="237">
        <v>1567</v>
      </c>
      <c r="F50" s="237">
        <v>1863</v>
      </c>
    </row>
    <row r="51" spans="2:6">
      <c r="B51" s="254" t="s">
        <v>484</v>
      </c>
      <c r="C51" s="255"/>
      <c r="D51" s="252">
        <v>2814</v>
      </c>
      <c r="E51" s="237">
        <v>1567</v>
      </c>
      <c r="F51" s="237">
        <v>1863</v>
      </c>
    </row>
    <row r="53" spans="2:6">
      <c r="B53" s="234" t="s">
        <v>494</v>
      </c>
      <c r="E53" s="244"/>
    </row>
    <row r="55" spans="2:6">
      <c r="B55" s="176" t="s">
        <v>482</v>
      </c>
      <c r="C55" s="176" t="s">
        <v>478</v>
      </c>
      <c r="D55" s="176" t="s">
        <v>1</v>
      </c>
      <c r="E55" s="176" t="s">
        <v>21</v>
      </c>
      <c r="F55" s="176" t="s">
        <v>2</v>
      </c>
    </row>
    <row r="56" spans="2:6">
      <c r="B56" s="235" t="s">
        <v>483</v>
      </c>
      <c r="C56" s="235" t="s">
        <v>487</v>
      </c>
      <c r="D56" s="237">
        <v>658</v>
      </c>
      <c r="E56" s="237">
        <v>209</v>
      </c>
      <c r="F56" s="237">
        <v>259</v>
      </c>
    </row>
    <row r="57" spans="2:6">
      <c r="B57" s="235" t="s">
        <v>483</v>
      </c>
      <c r="C57" s="235" t="s">
        <v>488</v>
      </c>
      <c r="D57" s="237">
        <v>752</v>
      </c>
      <c r="E57" s="237">
        <v>173</v>
      </c>
      <c r="F57" s="237">
        <v>259</v>
      </c>
    </row>
    <row r="58" spans="2:6">
      <c r="B58" s="235" t="s">
        <v>483</v>
      </c>
      <c r="C58" s="235" t="s">
        <v>492</v>
      </c>
      <c r="D58" s="237">
        <v>1309</v>
      </c>
      <c r="E58" s="237">
        <v>209</v>
      </c>
      <c r="F58" s="237">
        <v>259</v>
      </c>
    </row>
    <row r="59" spans="2:6">
      <c r="B59" s="235" t="s">
        <v>483</v>
      </c>
      <c r="C59" s="235" t="s">
        <v>489</v>
      </c>
      <c r="D59" s="237">
        <v>11714</v>
      </c>
      <c r="E59" s="237">
        <v>12503</v>
      </c>
      <c r="F59" s="237">
        <v>7411</v>
      </c>
    </row>
    <row r="60" spans="2:6">
      <c r="B60" s="235" t="s">
        <v>484</v>
      </c>
      <c r="C60" s="235" t="s">
        <v>487</v>
      </c>
      <c r="D60" s="237">
        <v>590</v>
      </c>
      <c r="E60" s="237">
        <v>209</v>
      </c>
      <c r="F60" s="237">
        <v>259</v>
      </c>
    </row>
    <row r="61" spans="2:6">
      <c r="B61" s="235" t="s">
        <v>484</v>
      </c>
      <c r="C61" s="235" t="s">
        <v>488</v>
      </c>
      <c r="D61" s="237">
        <v>752</v>
      </c>
      <c r="E61" s="237">
        <v>173</v>
      </c>
      <c r="F61" s="237">
        <v>259</v>
      </c>
    </row>
    <row r="62" spans="2:6">
      <c r="B62" s="235" t="s">
        <v>484</v>
      </c>
      <c r="C62" s="235" t="s">
        <v>492</v>
      </c>
      <c r="D62" s="237">
        <v>1309</v>
      </c>
      <c r="E62" s="237">
        <v>209</v>
      </c>
      <c r="F62" s="237">
        <v>259</v>
      </c>
    </row>
    <row r="63" spans="2:6">
      <c r="B63" s="235" t="s">
        <v>484</v>
      </c>
      <c r="C63" s="235" t="s">
        <v>489</v>
      </c>
      <c r="D63" s="237">
        <v>11714</v>
      </c>
      <c r="E63" s="237">
        <v>12503</v>
      </c>
      <c r="F63" s="237">
        <v>7411</v>
      </c>
    </row>
  </sheetData>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6CE741B7-4A1C-47F5-9334-ABFD47292F64}">
          <x14:formula1>
            <xm:f>'drop downs'!$B$29:$B$30</xm:f>
          </x14:formula1>
          <xm:sqref>D9:D18</xm:sqref>
        </x14:dataValidation>
        <x14:dataValidation type="list" allowBlank="1" showInputMessage="1" showErrorMessage="1" xr:uid="{031F5C6D-1E32-4EAD-8323-FCDA20673853}">
          <x14:formula1>
            <xm:f>'drop downs'!$B$32:$B$35</xm:f>
          </x14:formula1>
          <xm:sqref>E9:E18</xm:sqref>
        </x14:dataValidation>
        <x14:dataValidation type="list" allowBlank="1" showInputMessage="1" showErrorMessage="1" xr:uid="{B81B321A-A568-4E1C-A385-E91875B607F6}">
          <x14:formula1>
            <xm:f>'drop downs'!$B$3:$B$5</xm:f>
          </x14:formula1>
          <xm:sqref>C9:C18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3B12B-BEE4-4573-848A-670F6FF75489}">
  <sheetPr>
    <tabColor theme="0" tint="-0.499984740745262"/>
  </sheetPr>
  <dimension ref="A2:P18"/>
  <sheetViews>
    <sheetView zoomScale="68" zoomScaleNormal="68" workbookViewId="0">
      <selection activeCell="F29" sqref="F29"/>
    </sheetView>
  </sheetViews>
  <sheetFormatPr defaultColWidth="9" defaultRowHeight="13.8"/>
  <cols>
    <col min="1" max="1" width="9" style="57"/>
    <col min="4" max="4" width="19.88671875" bestFit="1" customWidth="1"/>
    <col min="5" max="5" width="35.109375" bestFit="1" customWidth="1"/>
    <col min="6" max="6" width="35.44140625" customWidth="1"/>
    <col min="7" max="7" width="21.44140625" customWidth="1"/>
    <col min="8" max="8" width="21" customWidth="1"/>
    <col min="9" max="9" width="12.6640625" customWidth="1"/>
    <col min="10" max="10" width="11.6640625" customWidth="1"/>
    <col min="11" max="11" width="13.33203125" customWidth="1"/>
    <col min="12" max="12" width="19" bestFit="1" customWidth="1"/>
    <col min="13" max="13" width="21.6640625" customWidth="1"/>
    <col min="14" max="16" width="26.6640625" customWidth="1"/>
  </cols>
  <sheetData>
    <row r="2" spans="1:16" s="104" customFormat="1" ht="27.6">
      <c r="A2" s="205"/>
      <c r="B2" s="105" t="s">
        <v>397</v>
      </c>
      <c r="C2" s="105" t="s">
        <v>398</v>
      </c>
      <c r="D2" s="105" t="s">
        <v>395</v>
      </c>
      <c r="E2" s="105" t="s">
        <v>396</v>
      </c>
      <c r="F2" s="105" t="s">
        <v>394</v>
      </c>
      <c r="G2" s="105" t="s">
        <v>393</v>
      </c>
      <c r="H2" s="105" t="s">
        <v>388</v>
      </c>
      <c r="I2" s="105" t="s">
        <v>390</v>
      </c>
      <c r="J2" s="105" t="s">
        <v>391</v>
      </c>
      <c r="K2" s="105" t="s">
        <v>386</v>
      </c>
      <c r="L2" s="105" t="s">
        <v>383</v>
      </c>
      <c r="M2" s="105" t="s">
        <v>382</v>
      </c>
      <c r="N2" s="105" t="s">
        <v>384</v>
      </c>
      <c r="O2" s="105" t="s">
        <v>385</v>
      </c>
      <c r="P2" s="105" t="s">
        <v>389</v>
      </c>
    </row>
    <row r="3" spans="1:16" s="104" customFormat="1">
      <c r="A3" s="205"/>
      <c r="D3" s="218"/>
      <c r="E3" s="218"/>
      <c r="F3" s="218"/>
      <c r="G3" s="218"/>
      <c r="H3" s="218"/>
      <c r="I3" s="218"/>
      <c r="J3" s="218"/>
      <c r="K3" s="218"/>
      <c r="L3" s="218"/>
      <c r="M3" s="218"/>
      <c r="N3" s="218"/>
      <c r="O3" s="218"/>
      <c r="P3" s="218"/>
    </row>
    <row r="4" spans="1:16" s="103" customFormat="1" ht="69">
      <c r="A4" s="57"/>
      <c r="B4" s="177">
        <v>-4.0000000000000002E-4</v>
      </c>
      <c r="C4" t="s">
        <v>406</v>
      </c>
      <c r="D4" s="66" t="s">
        <v>504</v>
      </c>
      <c r="E4" s="66" t="s">
        <v>402</v>
      </c>
      <c r="G4" s="103" t="s">
        <v>392</v>
      </c>
      <c r="H4" s="103" t="s">
        <v>381</v>
      </c>
      <c r="I4" s="219">
        <v>44298</v>
      </c>
      <c r="J4" s="219">
        <v>44011</v>
      </c>
      <c r="K4" s="103" t="s">
        <v>387</v>
      </c>
      <c r="L4" s="103" t="s">
        <v>449</v>
      </c>
      <c r="M4" s="103" t="s">
        <v>450</v>
      </c>
      <c r="N4" s="207" t="s">
        <v>451</v>
      </c>
      <c r="O4" s="207" t="s">
        <v>452</v>
      </c>
      <c r="P4" s="207" t="s">
        <v>452</v>
      </c>
    </row>
    <row r="5" spans="1:16">
      <c r="B5" s="103">
        <v>0.17169999999999999</v>
      </c>
      <c r="C5" t="s">
        <v>406</v>
      </c>
      <c r="D5" s="66" t="s">
        <v>504</v>
      </c>
      <c r="E5" t="s">
        <v>401</v>
      </c>
    </row>
    <row r="6" spans="1:16">
      <c r="B6">
        <v>1.0058</v>
      </c>
      <c r="C6" t="s">
        <v>406</v>
      </c>
      <c r="D6" t="s">
        <v>505</v>
      </c>
      <c r="E6" t="s">
        <v>403</v>
      </c>
    </row>
    <row r="7" spans="1:16">
      <c r="B7">
        <v>0.35980000000000001</v>
      </c>
      <c r="C7" t="s">
        <v>406</v>
      </c>
      <c r="D7" t="s">
        <v>506</v>
      </c>
      <c r="E7" t="s">
        <v>400</v>
      </c>
    </row>
    <row r="8" spans="1:16" s="57" customFormat="1">
      <c r="B8">
        <v>0.1084</v>
      </c>
      <c r="C8" t="s">
        <v>406</v>
      </c>
      <c r="D8" t="s">
        <v>506</v>
      </c>
      <c r="E8" t="s">
        <v>399</v>
      </c>
      <c r="F8"/>
      <c r="G8"/>
      <c r="H8"/>
      <c r="I8"/>
      <c r="J8"/>
      <c r="K8"/>
      <c r="L8"/>
      <c r="M8"/>
      <c r="N8"/>
      <c r="O8"/>
      <c r="P8"/>
    </row>
    <row r="9" spans="1:16" s="57" customFormat="1" ht="12" customHeight="1">
      <c r="B9">
        <v>0.61260000000000003</v>
      </c>
      <c r="C9" t="s">
        <v>406</v>
      </c>
      <c r="D9"/>
      <c r="E9" t="s">
        <v>404</v>
      </c>
      <c r="F9"/>
      <c r="G9" t="s">
        <v>405</v>
      </c>
      <c r="H9"/>
      <c r="I9"/>
      <c r="J9"/>
      <c r="K9"/>
      <c r="L9"/>
      <c r="M9"/>
      <c r="N9"/>
      <c r="O9"/>
      <c r="P9"/>
    </row>
    <row r="10" spans="1:16" ht="55.2">
      <c r="A10"/>
      <c r="B10" s="66">
        <v>114</v>
      </c>
      <c r="C10" s="66" t="s">
        <v>538</v>
      </c>
      <c r="D10" s="66" t="s">
        <v>472</v>
      </c>
      <c r="E10" s="66" t="s">
        <v>475</v>
      </c>
      <c r="F10" s="66"/>
      <c r="G10" s="66" t="s">
        <v>474</v>
      </c>
      <c r="H10" s="66" t="s">
        <v>473</v>
      </c>
      <c r="I10" s="232">
        <v>44648</v>
      </c>
      <c r="J10" s="232">
        <v>44421</v>
      </c>
      <c r="K10" s="66" t="s">
        <v>387</v>
      </c>
      <c r="L10" s="66"/>
      <c r="M10" s="66"/>
      <c r="N10" s="66"/>
      <c r="O10" s="66" t="s">
        <v>471</v>
      </c>
      <c r="P10" s="66"/>
    </row>
    <row r="11" spans="1:16" ht="82.8">
      <c r="A11"/>
      <c r="D11" t="s">
        <v>502</v>
      </c>
      <c r="E11" t="s">
        <v>503</v>
      </c>
      <c r="G11" t="s">
        <v>512</v>
      </c>
      <c r="H11" s="66" t="s">
        <v>518</v>
      </c>
      <c r="I11" s="55">
        <v>44692</v>
      </c>
      <c r="J11" s="55">
        <v>44692</v>
      </c>
      <c r="K11" t="s">
        <v>514</v>
      </c>
      <c r="M11" s="66" t="s">
        <v>517</v>
      </c>
    </row>
    <row r="12" spans="1:16" ht="110.4">
      <c r="A12"/>
      <c r="D12" t="s">
        <v>507</v>
      </c>
      <c r="E12" t="s">
        <v>510</v>
      </c>
      <c r="G12" t="s">
        <v>511</v>
      </c>
      <c r="H12" s="66" t="s">
        <v>513</v>
      </c>
      <c r="I12" s="55">
        <v>44701</v>
      </c>
      <c r="J12" s="55">
        <v>44701</v>
      </c>
      <c r="K12" t="s">
        <v>515</v>
      </c>
      <c r="M12" s="66" t="s">
        <v>516</v>
      </c>
    </row>
    <row r="13" spans="1:16" ht="110.4">
      <c r="A13"/>
      <c r="D13" t="s">
        <v>508</v>
      </c>
      <c r="E13" t="s">
        <v>509</v>
      </c>
      <c r="G13" t="s">
        <v>512</v>
      </c>
      <c r="H13" s="66" t="s">
        <v>513</v>
      </c>
      <c r="I13" s="55">
        <v>44701</v>
      </c>
      <c r="J13" s="55">
        <v>44701</v>
      </c>
      <c r="K13" t="s">
        <v>480</v>
      </c>
      <c r="M13" s="66" t="s">
        <v>516</v>
      </c>
    </row>
    <row r="14" spans="1:16">
      <c r="A14"/>
    </row>
    <row r="15" spans="1:16">
      <c r="A15"/>
    </row>
    <row r="16" spans="1:16">
      <c r="A16"/>
    </row>
    <row r="17" spans="1:1">
      <c r="A17"/>
    </row>
    <row r="18" spans="1:1">
      <c r="A18"/>
    </row>
  </sheetData>
  <phoneticPr fontId="34" type="noConversion"/>
  <hyperlinks>
    <hyperlink ref="P4" r:id="rId1" xr:uid="{438A1A14-8064-4764-AD99-15443390B30A}"/>
    <hyperlink ref="N4" r:id="rId2" xr:uid="{D9F73C1E-9424-412B-B999-26A42BEFB5C5}"/>
    <hyperlink ref="O4" r:id="rId3" xr:uid="{CF900D0B-CED9-4251-BA03-6967ADF0FB37}"/>
  </hyperlinks>
  <pageMargins left="0.7" right="0.7" top="0.75" bottom="0.75" header="0.3" footer="0.3"/>
  <pageSetup orientation="portrait" horizontalDpi="90" verticalDpi="9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18D5B-7A5A-4AEA-AC3A-61AB7595CD4B}">
  <dimension ref="A1:J24"/>
  <sheetViews>
    <sheetView workbookViewId="0">
      <selection activeCell="E28" sqref="E28"/>
    </sheetView>
  </sheetViews>
  <sheetFormatPr defaultColWidth="9" defaultRowHeight="13.8"/>
  <cols>
    <col min="1" max="1" width="13.33203125" customWidth="1"/>
    <col min="2" max="2" width="12.6640625" customWidth="1"/>
    <col min="3" max="3" width="19.6640625" customWidth="1"/>
  </cols>
  <sheetData>
    <row r="1" spans="1:10">
      <c r="B1" t="s">
        <v>424</v>
      </c>
      <c r="C1" t="s">
        <v>425</v>
      </c>
      <c r="D1" t="s">
        <v>426</v>
      </c>
    </row>
    <row r="2" spans="1:10">
      <c r="A2">
        <v>2020</v>
      </c>
    </row>
    <row r="3" spans="1:10">
      <c r="A3" t="s">
        <v>422</v>
      </c>
      <c r="B3" s="55">
        <v>43964</v>
      </c>
      <c r="C3" t="s">
        <v>427</v>
      </c>
      <c r="D3" t="s">
        <v>428</v>
      </c>
      <c r="E3" t="s">
        <v>423</v>
      </c>
    </row>
    <row r="4" spans="1:10">
      <c r="E4" t="s">
        <v>438</v>
      </c>
    </row>
    <row r="5" spans="1:10">
      <c r="C5" t="s">
        <v>439</v>
      </c>
      <c r="E5" t="s">
        <v>440</v>
      </c>
    </row>
    <row r="6" spans="1:10">
      <c r="A6" t="s">
        <v>441</v>
      </c>
      <c r="B6" s="55">
        <v>43999</v>
      </c>
      <c r="C6" t="s">
        <v>442</v>
      </c>
      <c r="D6" t="s">
        <v>443</v>
      </c>
      <c r="E6" t="s">
        <v>444</v>
      </c>
    </row>
    <row r="7" spans="1:10">
      <c r="C7" t="s">
        <v>445</v>
      </c>
      <c r="D7" t="s">
        <v>446</v>
      </c>
      <c r="E7" t="s">
        <v>447</v>
      </c>
    </row>
    <row r="8" spans="1:10">
      <c r="A8">
        <v>2021</v>
      </c>
    </row>
    <row r="9" spans="1:10">
      <c r="A9" t="s">
        <v>457</v>
      </c>
      <c r="B9" s="55">
        <v>44298</v>
      </c>
      <c r="C9" t="s">
        <v>448</v>
      </c>
      <c r="E9" t="s">
        <v>454</v>
      </c>
    </row>
    <row r="10" spans="1:10">
      <c r="C10" t="s">
        <v>453</v>
      </c>
      <c r="E10" t="s">
        <v>455</v>
      </c>
    </row>
    <row r="11" spans="1:10">
      <c r="C11" t="s">
        <v>427</v>
      </c>
      <c r="D11" t="s">
        <v>428</v>
      </c>
      <c r="E11" t="s">
        <v>459</v>
      </c>
    </row>
    <row r="12" spans="1:10" s="206" customFormat="1">
      <c r="A12"/>
      <c r="B12"/>
      <c r="C12" t="s">
        <v>445</v>
      </c>
      <c r="D12" t="s">
        <v>446</v>
      </c>
      <c r="E12" t="s">
        <v>456</v>
      </c>
      <c r="F12"/>
      <c r="G12"/>
      <c r="H12"/>
      <c r="I12"/>
      <c r="J12"/>
    </row>
    <row r="13" spans="1:10">
      <c r="A13">
        <v>2022</v>
      </c>
    </row>
    <row r="14" spans="1:10">
      <c r="A14" t="s">
        <v>457</v>
      </c>
      <c r="C14" t="s">
        <v>453</v>
      </c>
      <c r="E14" t="s">
        <v>460</v>
      </c>
    </row>
    <row r="15" spans="1:10">
      <c r="C15" t="s">
        <v>461</v>
      </c>
      <c r="D15" t="s">
        <v>462</v>
      </c>
      <c r="E15" t="s">
        <v>463</v>
      </c>
    </row>
    <row r="16" spans="1:10">
      <c r="C16" t="s">
        <v>461</v>
      </c>
      <c r="E16" t="s">
        <v>523</v>
      </c>
    </row>
    <row r="17" spans="1:5">
      <c r="C17" t="s">
        <v>524</v>
      </c>
      <c r="D17" t="s">
        <v>525</v>
      </c>
      <c r="E17" t="s">
        <v>526</v>
      </c>
    </row>
    <row r="18" spans="1:5">
      <c r="C18" t="s">
        <v>448</v>
      </c>
      <c r="D18" t="s">
        <v>464</v>
      </c>
      <c r="E18" t="s">
        <v>465</v>
      </c>
    </row>
    <row r="19" spans="1:5">
      <c r="B19" s="55">
        <v>44648</v>
      </c>
      <c r="C19" t="s">
        <v>427</v>
      </c>
      <c r="D19" t="s">
        <v>469</v>
      </c>
      <c r="E19" t="s">
        <v>470</v>
      </c>
    </row>
    <row r="20" spans="1:5">
      <c r="B20" s="55">
        <v>44704</v>
      </c>
      <c r="C20" t="s">
        <v>500</v>
      </c>
      <c r="E20" t="s">
        <v>501</v>
      </c>
    </row>
    <row r="21" spans="1:5">
      <c r="B21" s="55">
        <v>44720</v>
      </c>
      <c r="C21" t="s">
        <v>442</v>
      </c>
      <c r="D21" t="s">
        <v>443</v>
      </c>
      <c r="E21" t="s">
        <v>527</v>
      </c>
    </row>
    <row r="22" spans="1:5">
      <c r="A22" t="s">
        <v>539</v>
      </c>
      <c r="B22" s="55">
        <v>44756</v>
      </c>
      <c r="C22" t="s">
        <v>427</v>
      </c>
      <c r="D22" t="s">
        <v>540</v>
      </c>
      <c r="E22" t="s">
        <v>541</v>
      </c>
    </row>
    <row r="23" spans="1:5">
      <c r="C23" t="s">
        <v>542</v>
      </c>
      <c r="E23" t="s">
        <v>543</v>
      </c>
    </row>
    <row r="24" spans="1:5">
      <c r="B24" s="258">
        <v>44760</v>
      </c>
      <c r="C24" t="s">
        <v>427</v>
      </c>
      <c r="D24" t="s">
        <v>544</v>
      </c>
      <c r="E24" t="s">
        <v>545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F9945-3F33-418B-A865-30226C69B4B9}">
  <dimension ref="A1:AQ268"/>
  <sheetViews>
    <sheetView zoomScale="78" zoomScaleNormal="78" workbookViewId="0">
      <selection activeCell="A2" sqref="A2"/>
    </sheetView>
  </sheetViews>
  <sheetFormatPr defaultColWidth="9" defaultRowHeight="14.4"/>
  <cols>
    <col min="1" max="2" width="24" style="72" customWidth="1"/>
    <col min="3" max="4" width="11" style="72" customWidth="1"/>
    <col min="10" max="10" width="17.44140625" bestFit="1" customWidth="1"/>
    <col min="11" max="11" width="16.5546875" bestFit="1" customWidth="1"/>
    <col min="12" max="12" width="12.6640625" bestFit="1" customWidth="1"/>
    <col min="13" max="13" width="16.6640625" bestFit="1" customWidth="1"/>
    <col min="14" max="14" width="16.5546875" bestFit="1" customWidth="1"/>
    <col min="15" max="15" width="12.6640625" bestFit="1" customWidth="1"/>
    <col min="16" max="16" width="21.44140625" bestFit="1" customWidth="1"/>
    <col min="17" max="17" width="16.5546875" bestFit="1" customWidth="1"/>
    <col min="18" max="18" width="12.6640625" bestFit="1" customWidth="1"/>
    <col min="22" max="22" width="12" bestFit="1" customWidth="1"/>
    <col min="23" max="23" width="9.6640625" bestFit="1" customWidth="1"/>
  </cols>
  <sheetData>
    <row r="1" spans="1:43" ht="32.25" customHeight="1">
      <c r="A1" s="153" t="s">
        <v>450</v>
      </c>
      <c r="B1" s="271" t="s">
        <v>371</v>
      </c>
      <c r="C1" s="272"/>
      <c r="D1" s="75"/>
      <c r="E1" s="274" t="s">
        <v>368</v>
      </c>
      <c r="F1" s="274"/>
      <c r="G1" s="164"/>
      <c r="H1" s="164"/>
      <c r="I1" s="164"/>
      <c r="J1" s="164" t="s">
        <v>380</v>
      </c>
      <c r="K1" s="273" t="s">
        <v>117</v>
      </c>
      <c r="L1" s="273"/>
      <c r="M1" s="164" t="s">
        <v>380</v>
      </c>
      <c r="N1" s="273" t="s">
        <v>118</v>
      </c>
      <c r="O1" s="273"/>
      <c r="P1" s="273" t="s">
        <v>119</v>
      </c>
      <c r="Q1" s="273"/>
      <c r="R1" s="273"/>
      <c r="S1" s="26"/>
      <c r="T1" s="270" t="s">
        <v>123</v>
      </c>
      <c r="U1" s="154"/>
      <c r="V1" s="154">
        <f>MATCH(V2,$E:$E,0)</f>
        <v>3</v>
      </c>
      <c r="W1" s="154">
        <f t="shared" ref="W1:AO1" si="0">MATCH(W2,$E:$E,0)</f>
        <v>15</v>
      </c>
      <c r="X1" s="154">
        <f t="shared" si="0"/>
        <v>27</v>
      </c>
      <c r="Y1" s="154">
        <f t="shared" si="0"/>
        <v>39</v>
      </c>
      <c r="Z1" s="154">
        <f t="shared" si="0"/>
        <v>51</v>
      </c>
      <c r="AA1" s="154">
        <f t="shared" si="0"/>
        <v>63</v>
      </c>
      <c r="AB1" s="154">
        <f t="shared" si="0"/>
        <v>75</v>
      </c>
      <c r="AC1" s="154">
        <f t="shared" si="0"/>
        <v>87</v>
      </c>
      <c r="AD1" s="154">
        <f t="shared" si="0"/>
        <v>99</v>
      </c>
      <c r="AE1" s="154">
        <f t="shared" si="0"/>
        <v>111</v>
      </c>
      <c r="AF1" s="154">
        <f t="shared" si="0"/>
        <v>123</v>
      </c>
      <c r="AG1" s="154">
        <f t="shared" si="0"/>
        <v>135</v>
      </c>
      <c r="AH1" s="154">
        <f t="shared" si="0"/>
        <v>147</v>
      </c>
      <c r="AI1" s="154">
        <f t="shared" si="0"/>
        <v>159</v>
      </c>
      <c r="AJ1" s="154">
        <f t="shared" si="0"/>
        <v>171</v>
      </c>
      <c r="AK1" s="154">
        <f t="shared" si="0"/>
        <v>183</v>
      </c>
      <c r="AL1" s="154">
        <f t="shared" si="0"/>
        <v>195</v>
      </c>
      <c r="AM1" s="154">
        <f t="shared" si="0"/>
        <v>207</v>
      </c>
      <c r="AN1" s="154">
        <f t="shared" si="0"/>
        <v>219</v>
      </c>
      <c r="AO1" s="154">
        <f t="shared" si="0"/>
        <v>231</v>
      </c>
    </row>
    <row r="2" spans="1:43">
      <c r="A2" s="156"/>
      <c r="B2" s="157" t="s">
        <v>76</v>
      </c>
      <c r="C2" s="158">
        <v>2018</v>
      </c>
      <c r="D2" s="76"/>
      <c r="E2" s="164" t="s">
        <v>76</v>
      </c>
      <c r="F2" s="164" t="s">
        <v>22</v>
      </c>
      <c r="G2" s="164"/>
      <c r="H2" s="164"/>
      <c r="I2" s="164"/>
      <c r="J2" s="164" t="s">
        <v>120</v>
      </c>
      <c r="K2" s="164" t="s">
        <v>121</v>
      </c>
      <c r="L2" s="164" t="s">
        <v>122</v>
      </c>
      <c r="M2" s="164" t="s">
        <v>120</v>
      </c>
      <c r="N2" s="164" t="s">
        <v>121</v>
      </c>
      <c r="O2" s="164" t="s">
        <v>122</v>
      </c>
      <c r="P2" s="164" t="s">
        <v>120</v>
      </c>
      <c r="Q2" s="164" t="s">
        <v>121</v>
      </c>
      <c r="R2" s="164" t="s">
        <v>122</v>
      </c>
      <c r="S2" s="26"/>
      <c r="T2" s="270"/>
      <c r="U2" s="154"/>
      <c r="V2" s="154">
        <v>2017</v>
      </c>
      <c r="W2" s="154">
        <v>2018</v>
      </c>
      <c r="X2" s="154">
        <v>2019</v>
      </c>
      <c r="Y2" s="154">
        <v>2020</v>
      </c>
      <c r="Z2" s="154">
        <v>2021</v>
      </c>
      <c r="AA2" s="154">
        <v>2022</v>
      </c>
      <c r="AB2" s="154">
        <v>2023</v>
      </c>
      <c r="AC2" s="154">
        <v>2024</v>
      </c>
      <c r="AD2" s="154">
        <v>2025</v>
      </c>
      <c r="AE2" s="154">
        <v>2026</v>
      </c>
      <c r="AF2" s="154">
        <v>2027</v>
      </c>
      <c r="AG2" s="154">
        <v>2028</v>
      </c>
      <c r="AH2" s="154">
        <v>2029</v>
      </c>
      <c r="AI2" s="154">
        <v>2030</v>
      </c>
      <c r="AJ2" s="154">
        <v>2031</v>
      </c>
      <c r="AK2" s="154">
        <v>2032</v>
      </c>
      <c r="AL2" s="154">
        <v>2033</v>
      </c>
      <c r="AM2" s="154">
        <v>2034</v>
      </c>
      <c r="AN2" s="154">
        <v>2035</v>
      </c>
      <c r="AO2" s="154">
        <v>2036</v>
      </c>
    </row>
    <row r="3" spans="1:43">
      <c r="A3" s="156"/>
      <c r="B3" s="159">
        <v>1970</v>
      </c>
      <c r="C3" s="160">
        <v>19.633099127224824</v>
      </c>
      <c r="D3" s="77"/>
      <c r="E3" s="26">
        <f>YEAR(G3)</f>
        <v>2017</v>
      </c>
      <c r="F3" s="26">
        <f>MONTH(G3)</f>
        <v>1</v>
      </c>
      <c r="G3" s="165">
        <v>42736</v>
      </c>
      <c r="H3" s="26" t="s">
        <v>124</v>
      </c>
      <c r="I3" s="26"/>
      <c r="J3" s="166">
        <v>3.8414603016580391</v>
      </c>
      <c r="K3" s="166">
        <v>0.17129999999999992</v>
      </c>
      <c r="L3" s="166">
        <v>4.0127603016580391</v>
      </c>
      <c r="M3" s="166">
        <v>3.8414603016580391</v>
      </c>
      <c r="N3" s="166">
        <v>1.0058187458141103</v>
      </c>
      <c r="O3" s="166">
        <v>4.8472790474721492</v>
      </c>
      <c r="P3" s="166">
        <v>3.6646457242611876</v>
      </c>
      <c r="Q3" s="166">
        <v>0.46818750000000003</v>
      </c>
      <c r="R3" s="166">
        <v>4.132833224261188</v>
      </c>
      <c r="S3" s="26"/>
      <c r="T3" s="167">
        <f>AVERAGE(J3,M3,P3)</f>
        <v>3.7825221091924219</v>
      </c>
      <c r="U3" s="154">
        <v>1</v>
      </c>
      <c r="V3" s="163">
        <f ca="1">OFFSET($T$1,V$1+$U3-2,0)</f>
        <v>3.7825221091924219</v>
      </c>
      <c r="W3" s="163">
        <f ca="1">OFFSET($T$1,W$1+$U3-2,0)</f>
        <v>3.4973573668408409</v>
      </c>
      <c r="X3" s="163">
        <f t="shared" ref="V3:AE14" ca="1" si="1">OFFSET($T$1,X$1+$U3-2,0)</f>
        <v>3.6219880960430171</v>
      </c>
      <c r="Y3" s="163">
        <f t="shared" ca="1" si="1"/>
        <v>3.8872266376219691</v>
      </c>
      <c r="Z3" s="163">
        <f t="shared" ca="1" si="1"/>
        <v>3.9936356590144135</v>
      </c>
      <c r="AA3" s="163">
        <f t="shared" ca="1" si="1"/>
        <v>4.0740226382291063</v>
      </c>
      <c r="AB3" s="163">
        <f t="shared" ca="1" si="1"/>
        <v>4.1835655136335532</v>
      </c>
      <c r="AC3" s="163">
        <f t="shared" ca="1" si="1"/>
        <v>4.2728550339513154</v>
      </c>
      <c r="AD3" s="163">
        <f t="shared" ca="1" si="1"/>
        <v>4.3547881252667056</v>
      </c>
      <c r="AE3" s="163">
        <f t="shared" ca="1" si="1"/>
        <v>4.4566442063266987</v>
      </c>
      <c r="AF3" s="163">
        <f t="shared" ref="AF3:AO14" ca="1" si="2">OFFSET($T$1,AF$1+$U3-2,0)</f>
        <v>4.5644570802191646</v>
      </c>
      <c r="AG3" s="163">
        <f t="shared" ca="1" si="2"/>
        <v>4.6799000630177083</v>
      </c>
      <c r="AH3" s="163">
        <f t="shared" ca="1" si="2"/>
        <v>4.8067205209102886</v>
      </c>
      <c r="AI3" s="163">
        <f t="shared" ca="1" si="2"/>
        <v>4.9386639804852992</v>
      </c>
      <c r="AJ3" s="163">
        <f t="shared" ca="1" si="2"/>
        <v>5.0439779882697389</v>
      </c>
      <c r="AK3" s="163">
        <f t="shared" ca="1" si="2"/>
        <v>5.1539604251435716</v>
      </c>
      <c r="AL3" s="163">
        <f t="shared" ca="1" si="2"/>
        <v>5.268355482985867</v>
      </c>
      <c r="AM3" s="163">
        <f t="shared" ca="1" si="2"/>
        <v>5.3879266202513962</v>
      </c>
      <c r="AN3" s="163">
        <f t="shared" ca="1" si="2"/>
        <v>5.5113620397113152</v>
      </c>
      <c r="AO3" s="163">
        <f t="shared" ca="1" si="2"/>
        <v>5.640564317664329</v>
      </c>
      <c r="AP3" s="73"/>
      <c r="AQ3" s="73"/>
    </row>
    <row r="4" spans="1:43">
      <c r="A4" s="156"/>
      <c r="B4" s="159">
        <v>1971</v>
      </c>
      <c r="C4" s="160">
        <v>20.627105576019265</v>
      </c>
      <c r="D4" s="77"/>
      <c r="E4" s="26">
        <f t="shared" ref="E4:E67" si="3">YEAR(G4)</f>
        <v>2017</v>
      </c>
      <c r="F4" s="26">
        <f t="shared" ref="F4:F67" si="4">MONTH(G4)</f>
        <v>2</v>
      </c>
      <c r="G4" s="165">
        <v>42767</v>
      </c>
      <c r="H4" s="26" t="s">
        <v>125</v>
      </c>
      <c r="I4" s="26"/>
      <c r="J4" s="166">
        <v>3.9197810554514336</v>
      </c>
      <c r="K4" s="166">
        <v>0.17129999999999992</v>
      </c>
      <c r="L4" s="166">
        <v>4.0910810554514336</v>
      </c>
      <c r="M4" s="166">
        <v>3.9197810554514336</v>
      </c>
      <c r="N4" s="166">
        <v>1.0058187458141103</v>
      </c>
      <c r="O4" s="166">
        <v>4.9255998012655438</v>
      </c>
      <c r="P4" s="166">
        <v>3.7393615336074388</v>
      </c>
      <c r="Q4" s="166">
        <v>0.46818750000000003</v>
      </c>
      <c r="R4" s="166">
        <v>4.2075490336074388</v>
      </c>
      <c r="S4" s="26"/>
      <c r="T4" s="167">
        <f t="shared" ref="T4:T67" si="5">AVERAGE(J4,M4,P4)</f>
        <v>3.8596412148367687</v>
      </c>
      <c r="U4" s="154">
        <v>2</v>
      </c>
      <c r="V4" s="163">
        <f t="shared" ca="1" si="1"/>
        <v>3.8596412148367687</v>
      </c>
      <c r="W4" s="163">
        <f t="shared" ca="1" si="1"/>
        <v>3.538150836267965</v>
      </c>
      <c r="X4" s="163">
        <f t="shared" ca="1" si="1"/>
        <v>3.6966948778449034</v>
      </c>
      <c r="Y4" s="163">
        <f t="shared" ca="1" si="1"/>
        <v>3.9819241472681797</v>
      </c>
      <c r="Z4" s="163">
        <f t="shared" ca="1" si="1"/>
        <v>4.0785261807953566</v>
      </c>
      <c r="AA4" s="163">
        <f t="shared" ca="1" si="1"/>
        <v>4.1573555286942012</v>
      </c>
      <c r="AB4" s="163">
        <f t="shared" ca="1" si="1"/>
        <v>4.2711917076037667</v>
      </c>
      <c r="AC4" s="163">
        <f t="shared" ca="1" si="1"/>
        <v>4.3607340594912039</v>
      </c>
      <c r="AD4" s="163">
        <f t="shared" ca="1" si="1"/>
        <v>4.4436494028704878</v>
      </c>
      <c r="AE4" s="163">
        <f t="shared" ca="1" si="1"/>
        <v>4.5488809955068819</v>
      </c>
      <c r="AF4" s="163">
        <f t="shared" ca="1" si="2"/>
        <v>4.6591923108466302</v>
      </c>
      <c r="AG4" s="163">
        <f t="shared" ca="1" si="2"/>
        <v>4.7773676124641824</v>
      </c>
      <c r="AH4" s="163">
        <f t="shared" ca="1" si="2"/>
        <v>4.9073173444548459</v>
      </c>
      <c r="AI4" s="163">
        <f t="shared" ca="1" si="2"/>
        <v>5.042178189183935</v>
      </c>
      <c r="AJ4" s="163">
        <f t="shared" ca="1" si="2"/>
        <v>5.1478274858396427</v>
      </c>
      <c r="AK4" s="163">
        <f t="shared" ca="1" si="2"/>
        <v>5.2602102520863996</v>
      </c>
      <c r="AL4" s="163">
        <f t="shared" ca="1" si="2"/>
        <v>5.3770876814310453</v>
      </c>
      <c r="AM4" s="163">
        <f t="shared" ca="1" si="2"/>
        <v>5.4993476454904977</v>
      </c>
      <c r="AN4" s="163">
        <f t="shared" ca="1" si="2"/>
        <v>5.62543711729721</v>
      </c>
      <c r="AO4" s="163">
        <f t="shared" ca="1" si="2"/>
        <v>5.7575386200120775</v>
      </c>
      <c r="AP4" s="73"/>
      <c r="AQ4" s="73"/>
    </row>
    <row r="5" spans="1:43">
      <c r="A5" s="156"/>
      <c r="B5" s="159">
        <v>1972</v>
      </c>
      <c r="C5" s="160">
        <v>21.51627717611397</v>
      </c>
      <c r="D5" s="77"/>
      <c r="E5" s="26">
        <f t="shared" si="3"/>
        <v>2017</v>
      </c>
      <c r="F5" s="26">
        <f t="shared" si="4"/>
        <v>3</v>
      </c>
      <c r="G5" s="165">
        <v>42795</v>
      </c>
      <c r="H5" s="26" t="s">
        <v>126</v>
      </c>
      <c r="I5" s="26"/>
      <c r="J5" s="166">
        <v>3.5001641958975052</v>
      </c>
      <c r="K5" s="166">
        <v>0.17129999999999992</v>
      </c>
      <c r="L5" s="166">
        <v>3.6714641958975052</v>
      </c>
      <c r="M5" s="166">
        <v>3.5001641958975052</v>
      </c>
      <c r="N5" s="166">
        <v>1.0058187458141103</v>
      </c>
      <c r="O5" s="166">
        <v>4.5059829417116157</v>
      </c>
      <c r="P5" s="166">
        <v>3.3390587816751869</v>
      </c>
      <c r="Q5" s="166">
        <v>0.46818750000000003</v>
      </c>
      <c r="R5" s="166">
        <v>3.8072462816751869</v>
      </c>
      <c r="S5" s="26"/>
      <c r="T5" s="167">
        <f t="shared" si="5"/>
        <v>3.4464623911567323</v>
      </c>
      <c r="U5" s="154">
        <v>3</v>
      </c>
      <c r="V5" s="163">
        <f t="shared" ca="1" si="1"/>
        <v>3.4464623911567323</v>
      </c>
      <c r="W5" s="163">
        <f t="shared" ca="1" si="1"/>
        <v>3.1321425936444385</v>
      </c>
      <c r="X5" s="163">
        <f t="shared" ca="1" si="1"/>
        <v>3.3017281885642205</v>
      </c>
      <c r="Y5" s="163">
        <f t="shared" ca="1" si="1"/>
        <v>3.5694452001111556</v>
      </c>
      <c r="Z5" s="163">
        <f t="shared" ca="1" si="1"/>
        <v>3.6450114914334435</v>
      </c>
      <c r="AA5" s="163">
        <f t="shared" ca="1" si="1"/>
        <v>3.7125476857007147</v>
      </c>
      <c r="AB5" s="163">
        <f t="shared" ca="1" si="1"/>
        <v>3.8160369739957107</v>
      </c>
      <c r="AC5" s="163">
        <f t="shared" ca="1" si="1"/>
        <v>3.8945939073838787</v>
      </c>
      <c r="AD5" s="163">
        <f t="shared" ca="1" si="1"/>
        <v>3.9680185248789379</v>
      </c>
      <c r="AE5" s="163">
        <f t="shared" ca="1" si="1"/>
        <v>4.0631447593852856</v>
      </c>
      <c r="AF5" s="163">
        <f t="shared" ca="1" si="2"/>
        <v>4.1619153003828542</v>
      </c>
      <c r="AG5" s="163">
        <f t="shared" ca="1" si="2"/>
        <v>4.267777908458811</v>
      </c>
      <c r="AH5" s="163">
        <f t="shared" ca="1" si="2"/>
        <v>4.3843018072362305</v>
      </c>
      <c r="AI5" s="163">
        <f t="shared" ca="1" si="2"/>
        <v>4.5049286049738031</v>
      </c>
      <c r="AJ5" s="163">
        <f t="shared" ca="1" si="2"/>
        <v>4.597650110356688</v>
      </c>
      <c r="AK5" s="163">
        <f t="shared" ca="1" si="2"/>
        <v>4.698143243712626</v>
      </c>
      <c r="AL5" s="163">
        <f t="shared" ca="1" si="2"/>
        <v>4.8026428061788362</v>
      </c>
      <c r="AM5" s="163">
        <f t="shared" ca="1" si="2"/>
        <v>4.9120388170518119</v>
      </c>
      <c r="AN5" s="163">
        <f t="shared" ca="1" si="2"/>
        <v>5.0247529789451617</v>
      </c>
      <c r="AO5" s="163">
        <f t="shared" ca="1" si="2"/>
        <v>5.1429495140539663</v>
      </c>
      <c r="AP5" s="73"/>
      <c r="AQ5" s="73"/>
    </row>
    <row r="6" spans="1:43">
      <c r="A6" s="156"/>
      <c r="B6" s="159">
        <v>1973</v>
      </c>
      <c r="C6" s="160">
        <v>22.697310806390004</v>
      </c>
      <c r="D6" s="77"/>
      <c r="E6" s="26">
        <f t="shared" si="3"/>
        <v>2017</v>
      </c>
      <c r="F6" s="26">
        <f t="shared" si="4"/>
        <v>4</v>
      </c>
      <c r="G6" s="165">
        <v>42826</v>
      </c>
      <c r="H6" s="26" t="s">
        <v>127</v>
      </c>
      <c r="I6" s="26"/>
      <c r="J6" s="166">
        <v>3.494361365442519</v>
      </c>
      <c r="K6" s="166">
        <v>0.17129999999999992</v>
      </c>
      <c r="L6" s="166">
        <v>3.665661365442519</v>
      </c>
      <c r="M6" s="166">
        <v>3.494361365442519</v>
      </c>
      <c r="N6" s="166">
        <v>1.0058187458141103</v>
      </c>
      <c r="O6" s="166">
        <v>4.5001801112566291</v>
      </c>
      <c r="P6" s="166">
        <v>3.3335230436626664</v>
      </c>
      <c r="Q6" s="166">
        <v>0.46818750000000003</v>
      </c>
      <c r="R6" s="166">
        <v>3.8017105436626664</v>
      </c>
      <c r="S6" s="26"/>
      <c r="T6" s="167">
        <f t="shared" si="5"/>
        <v>3.4407485915159017</v>
      </c>
      <c r="U6" s="154">
        <v>4</v>
      </c>
      <c r="V6" s="163">
        <f t="shared" ca="1" si="1"/>
        <v>3.4407485915159017</v>
      </c>
      <c r="W6" s="163">
        <f t="shared" ca="1" si="1"/>
        <v>3.0997497494063073</v>
      </c>
      <c r="X6" s="163">
        <f t="shared" ca="1" si="1"/>
        <v>3.2970216161771302</v>
      </c>
      <c r="Y6" s="163">
        <f t="shared" ca="1" si="1"/>
        <v>3.5772950462638202</v>
      </c>
      <c r="Z6" s="163">
        <f t="shared" ca="1" si="1"/>
        <v>3.6420593995560577</v>
      </c>
      <c r="AA6" s="163">
        <f t="shared" ca="1" si="1"/>
        <v>3.7066339740362717</v>
      </c>
      <c r="AB6" s="163">
        <f t="shared" ca="1" si="1"/>
        <v>3.8117880378104849</v>
      </c>
      <c r="AC6" s="163">
        <f t="shared" ca="1" si="1"/>
        <v>3.8888172428719181</v>
      </c>
      <c r="AD6" s="163">
        <f t="shared" ca="1" si="1"/>
        <v>3.9615066029919923</v>
      </c>
      <c r="AE6" s="163">
        <f t="shared" ca="1" si="1"/>
        <v>4.0576330066428197</v>
      </c>
      <c r="AF6" s="163">
        <f t="shared" ca="1" si="2"/>
        <v>4.1565075268611613</v>
      </c>
      <c r="AG6" s="163">
        <f t="shared" ca="1" si="2"/>
        <v>4.2625321696256409</v>
      </c>
      <c r="AH6" s="163">
        <f t="shared" ca="1" si="2"/>
        <v>4.3793475097783539</v>
      </c>
      <c r="AI6" s="163">
        <f t="shared" ca="1" si="2"/>
        <v>4.4999769413332871</v>
      </c>
      <c r="AJ6" s="163">
        <f t="shared" ca="1" si="2"/>
        <v>4.5909294902334414</v>
      </c>
      <c r="AK6" s="163">
        <f t="shared" ca="1" si="2"/>
        <v>4.6913968502396175</v>
      </c>
      <c r="AL6" s="163">
        <f t="shared" ca="1" si="2"/>
        <v>4.7958569335572285</v>
      </c>
      <c r="AM6" s="163">
        <f t="shared" ca="1" si="2"/>
        <v>4.9052953181151686</v>
      </c>
      <c r="AN6" s="163">
        <f t="shared" ca="1" si="2"/>
        <v>5.0179451170085256</v>
      </c>
      <c r="AO6" s="163">
        <f t="shared" ca="1" si="2"/>
        <v>5.1361819479491562</v>
      </c>
      <c r="AP6" s="73"/>
      <c r="AQ6" s="73"/>
    </row>
    <row r="7" spans="1:43">
      <c r="A7" s="156"/>
      <c r="B7" s="159">
        <v>1974</v>
      </c>
      <c r="C7" s="160">
        <v>24.746005646638771</v>
      </c>
      <c r="D7" s="77"/>
      <c r="E7" s="26">
        <f t="shared" si="3"/>
        <v>2017</v>
      </c>
      <c r="F7" s="26">
        <f t="shared" si="4"/>
        <v>5</v>
      </c>
      <c r="G7" s="165">
        <v>42856</v>
      </c>
      <c r="H7" s="26" t="s">
        <v>128</v>
      </c>
      <c r="I7" s="26"/>
      <c r="J7" s="166">
        <v>3.6753066809948116</v>
      </c>
      <c r="K7" s="166">
        <v>0.17129999999999992</v>
      </c>
      <c r="L7" s="166">
        <v>3.8466066809948116</v>
      </c>
      <c r="M7" s="166">
        <v>3.6753066809948116</v>
      </c>
      <c r="N7" s="166">
        <v>1.0058187458141103</v>
      </c>
      <c r="O7" s="166">
        <v>4.6811254268089222</v>
      </c>
      <c r="P7" s="166">
        <v>3.5061398156432579</v>
      </c>
      <c r="Q7" s="166">
        <v>0.46818750000000003</v>
      </c>
      <c r="R7" s="166">
        <v>3.9743273156432579</v>
      </c>
      <c r="S7" s="26"/>
      <c r="T7" s="167">
        <f t="shared" si="5"/>
        <v>3.6189177258776275</v>
      </c>
      <c r="U7" s="154">
        <v>5</v>
      </c>
      <c r="V7" s="163">
        <f t="shared" ca="1" si="1"/>
        <v>3.6189177258776275</v>
      </c>
      <c r="W7" s="163">
        <f t="shared" ca="1" si="1"/>
        <v>3.2316526254388744</v>
      </c>
      <c r="X7" s="163">
        <f t="shared" ca="1" si="1"/>
        <v>3.4685552755303131</v>
      </c>
      <c r="Y7" s="163">
        <f t="shared" ca="1" si="1"/>
        <v>3.7770152881544443</v>
      </c>
      <c r="Z7" s="163">
        <f t="shared" ca="1" si="1"/>
        <v>3.8339037563647071</v>
      </c>
      <c r="AA7" s="163">
        <f t="shared" ca="1" si="1"/>
        <v>3.898824922628902</v>
      </c>
      <c r="AB7" s="163">
        <f t="shared" ca="1" si="1"/>
        <v>4.0113555205872302</v>
      </c>
      <c r="AC7" s="163">
        <f t="shared" ca="1" si="1"/>
        <v>4.0909036026197478</v>
      </c>
      <c r="AD7" s="163">
        <f t="shared" ca="1" si="1"/>
        <v>4.1667116709110772</v>
      </c>
      <c r="AE7" s="163">
        <f t="shared" ca="1" si="1"/>
        <v>4.2690335338100027</v>
      </c>
      <c r="AF7" s="163">
        <f t="shared" ca="1" si="2"/>
        <v>4.3733095746319171</v>
      </c>
      <c r="AG7" s="163">
        <f t="shared" ca="1" si="2"/>
        <v>4.4851794145438211</v>
      </c>
      <c r="AH7" s="163">
        <f t="shared" ca="1" si="2"/>
        <v>4.6085534146093883</v>
      </c>
      <c r="AI7" s="163">
        <f t="shared" ca="1" si="2"/>
        <v>4.7356423993801569</v>
      </c>
      <c r="AJ7" s="163">
        <f t="shared" ca="1" si="2"/>
        <v>4.8296057846410294</v>
      </c>
      <c r="AK7" s="163">
        <f t="shared" ca="1" si="2"/>
        <v>4.9354236781082754</v>
      </c>
      <c r="AL7" s="163">
        <f t="shared" ca="1" si="2"/>
        <v>5.0454336170075971</v>
      </c>
      <c r="AM7" s="163">
        <f t="shared" ca="1" si="2"/>
        <v>5.1607742733512536</v>
      </c>
      <c r="AN7" s="163">
        <f t="shared" ca="1" si="2"/>
        <v>5.2793861599586043</v>
      </c>
      <c r="AO7" s="163">
        <f t="shared" ca="1" si="2"/>
        <v>5.4039940247976581</v>
      </c>
      <c r="AP7" s="73"/>
      <c r="AQ7" s="73"/>
    </row>
    <row r="8" spans="1:43">
      <c r="A8" s="156"/>
      <c r="B8" s="159">
        <v>1975</v>
      </c>
      <c r="C8" s="160">
        <v>27.026559849886514</v>
      </c>
      <c r="D8" s="77"/>
      <c r="E8" s="26">
        <f t="shared" si="3"/>
        <v>2017</v>
      </c>
      <c r="F8" s="26">
        <f t="shared" si="4"/>
        <v>6</v>
      </c>
      <c r="G8" s="165">
        <v>42887</v>
      </c>
      <c r="H8" s="26" t="s">
        <v>129</v>
      </c>
      <c r="I8" s="26"/>
      <c r="J8" s="166">
        <v>3.2914682517281042</v>
      </c>
      <c r="K8" s="166">
        <v>0.17129999999999992</v>
      </c>
      <c r="L8" s="166">
        <v>3.4627682517281042</v>
      </c>
      <c r="M8" s="166">
        <v>3.2914682517281042</v>
      </c>
      <c r="N8" s="166">
        <v>1.0058187458141103</v>
      </c>
      <c r="O8" s="166">
        <v>4.2972869975422148</v>
      </c>
      <c r="P8" s="166">
        <v>3.4277321332528499</v>
      </c>
      <c r="Q8" s="166">
        <v>0.46818750000000003</v>
      </c>
      <c r="R8" s="166">
        <v>3.8959196332528498</v>
      </c>
      <c r="S8" s="26"/>
      <c r="T8" s="167">
        <f t="shared" si="5"/>
        <v>3.3368895455696861</v>
      </c>
      <c r="U8" s="154">
        <v>6</v>
      </c>
      <c r="V8" s="163">
        <f t="shared" ca="1" si="1"/>
        <v>3.3368895455696861</v>
      </c>
      <c r="W8" s="163">
        <f t="shared" ca="1" si="1"/>
        <v>3.2713299479868709</v>
      </c>
      <c r="X8" s="163">
        <f t="shared" ca="1" si="1"/>
        <v>3.4376921946949053</v>
      </c>
      <c r="Y8" s="163">
        <f t="shared" ca="1" si="1"/>
        <v>3.6048777928199969</v>
      </c>
      <c r="Z8" s="163">
        <f t="shared" ca="1" si="1"/>
        <v>3.6968871159464194</v>
      </c>
      <c r="AA8" s="163">
        <f t="shared" ca="1" si="1"/>
        <v>3.7854534153047426</v>
      </c>
      <c r="AB8" s="163">
        <f t="shared" ca="1" si="1"/>
        <v>3.8764962100530673</v>
      </c>
      <c r="AC8" s="163">
        <f t="shared" ca="1" si="1"/>
        <v>3.9568634233818165</v>
      </c>
      <c r="AD8" s="163">
        <f t="shared" ca="1" si="1"/>
        <v>4.0404404553191275</v>
      </c>
      <c r="AE8" s="163">
        <f t="shared" ca="1" si="1"/>
        <v>4.1352273736953551</v>
      </c>
      <c r="AF8" s="163">
        <f t="shared" ca="1" si="2"/>
        <v>4.2368636872077365</v>
      </c>
      <c r="AG8" s="163">
        <f t="shared" ca="1" si="2"/>
        <v>4.3463937398831334</v>
      </c>
      <c r="AH8" s="163">
        <f t="shared" ca="1" si="2"/>
        <v>4.464588214513836</v>
      </c>
      <c r="AI8" s="163">
        <f t="shared" ca="1" si="2"/>
        <v>4.5767096800748375</v>
      </c>
      <c r="AJ8" s="163">
        <f t="shared" ca="1" si="2"/>
        <v>4.6767471870336133</v>
      </c>
      <c r="AK8" s="163">
        <f t="shared" ca="1" si="2"/>
        <v>4.7792771784764803</v>
      </c>
      <c r="AL8" s="163">
        <f t="shared" ca="1" si="2"/>
        <v>4.886450546830492</v>
      </c>
      <c r="AM8" s="163">
        <f t="shared" ca="1" si="2"/>
        <v>4.9977075421612058</v>
      </c>
      <c r="AN8" s="163">
        <f t="shared" ca="1" si="2"/>
        <v>5.1133412147356898</v>
      </c>
      <c r="AO8" s="163">
        <f t="shared" ca="1" si="2"/>
        <v>3.2756877891996816</v>
      </c>
      <c r="AP8" s="73"/>
      <c r="AQ8" s="73"/>
    </row>
    <row r="9" spans="1:43">
      <c r="A9" s="156"/>
      <c r="B9" s="159">
        <v>1976</v>
      </c>
      <c r="C9" s="160">
        <v>28.518475223714884</v>
      </c>
      <c r="D9" s="77"/>
      <c r="E9" s="26">
        <f t="shared" si="3"/>
        <v>2017</v>
      </c>
      <c r="F9" s="26">
        <f t="shared" si="4"/>
        <v>7</v>
      </c>
      <c r="G9" s="165">
        <v>42917</v>
      </c>
      <c r="H9" s="26" t="s">
        <v>130</v>
      </c>
      <c r="I9" s="26"/>
      <c r="J9" s="166">
        <v>3.2787211548401691</v>
      </c>
      <c r="K9" s="166">
        <v>0.17129999999999992</v>
      </c>
      <c r="L9" s="166">
        <v>3.4500211548401691</v>
      </c>
      <c r="M9" s="166">
        <v>3.2787211548401691</v>
      </c>
      <c r="N9" s="166">
        <v>1.0058187458141103</v>
      </c>
      <c r="O9" s="166">
        <v>4.2845399006542797</v>
      </c>
      <c r="P9" s="166">
        <v>3.4668008537886479</v>
      </c>
      <c r="Q9" s="166">
        <v>0.46818750000000003</v>
      </c>
      <c r="R9" s="166">
        <v>3.9349883537886479</v>
      </c>
      <c r="S9" s="26"/>
      <c r="T9" s="167">
        <f t="shared" si="5"/>
        <v>3.3414143878229954</v>
      </c>
      <c r="U9" s="154">
        <v>7</v>
      </c>
      <c r="V9" s="163">
        <f t="shared" ca="1" si="1"/>
        <v>3.3414143878229954</v>
      </c>
      <c r="W9" s="163">
        <f t="shared" ca="1" si="1"/>
        <v>3.3039675218758688</v>
      </c>
      <c r="X9" s="163">
        <f t="shared" ca="1" si="1"/>
        <v>3.485313922461124</v>
      </c>
      <c r="Y9" s="163">
        <f t="shared" ca="1" si="1"/>
        <v>3.6431514025716853</v>
      </c>
      <c r="Z9" s="163">
        <f t="shared" ca="1" si="1"/>
        <v>3.7331270104074572</v>
      </c>
      <c r="AA9" s="163">
        <f t="shared" ca="1" si="1"/>
        <v>3.8244433654071659</v>
      </c>
      <c r="AB9" s="163">
        <f t="shared" ca="1" si="1"/>
        <v>3.9149358835127366</v>
      </c>
      <c r="AC9" s="163">
        <f t="shared" ca="1" si="1"/>
        <v>3.9954548125031337</v>
      </c>
      <c r="AD9" s="163">
        <f t="shared" ca="1" si="1"/>
        <v>4.081035845563509</v>
      </c>
      <c r="AE9" s="163">
        <f t="shared" ca="1" si="1"/>
        <v>4.1770208136360445</v>
      </c>
      <c r="AF9" s="163">
        <f t="shared" ca="1" si="2"/>
        <v>4.279993629954876</v>
      </c>
      <c r="AG9" s="163">
        <f t="shared" ca="1" si="2"/>
        <v>4.3910882394209594</v>
      </c>
      <c r="AH9" s="163">
        <f t="shared" ca="1" si="2"/>
        <v>4.5106417187796843</v>
      </c>
      <c r="AI9" s="163">
        <f t="shared" ca="1" si="2"/>
        <v>4.6221942782739989</v>
      </c>
      <c r="AJ9" s="163">
        <f t="shared" ca="1" si="2"/>
        <v>4.7233505011992065</v>
      </c>
      <c r="AK9" s="163">
        <f t="shared" ca="1" si="2"/>
        <v>4.8270162132249759</v>
      </c>
      <c r="AL9" s="163">
        <f t="shared" ca="1" si="2"/>
        <v>4.9354630001297251</v>
      </c>
      <c r="AM9" s="163">
        <f t="shared" ca="1" si="2"/>
        <v>5.0479290991352928</v>
      </c>
      <c r="AN9" s="163">
        <f t="shared" ca="1" si="2"/>
        <v>5.1649314204074193</v>
      </c>
      <c r="AO9" s="163">
        <f t="shared" ca="1" si="2"/>
        <v>2.9800333568142356</v>
      </c>
      <c r="AP9" s="73"/>
      <c r="AQ9" s="73"/>
    </row>
    <row r="10" spans="1:43">
      <c r="A10" s="156"/>
      <c r="B10" s="161">
        <v>1977</v>
      </c>
      <c r="C10" s="160">
        <v>30.286629291741257</v>
      </c>
      <c r="D10" s="77"/>
      <c r="E10" s="26">
        <f t="shared" si="3"/>
        <v>2017</v>
      </c>
      <c r="F10" s="26">
        <f t="shared" si="4"/>
        <v>8</v>
      </c>
      <c r="G10" s="165">
        <v>42948</v>
      </c>
      <c r="H10" s="26" t="s">
        <v>131</v>
      </c>
      <c r="I10" s="26"/>
      <c r="J10" s="166">
        <v>3.2579229146638267</v>
      </c>
      <c r="K10" s="166">
        <v>0.17129999999999992</v>
      </c>
      <c r="L10" s="166">
        <v>3.4292229146638267</v>
      </c>
      <c r="M10" s="166">
        <v>3.2579229146638267</v>
      </c>
      <c r="N10" s="166">
        <v>1.0058187458141103</v>
      </c>
      <c r="O10" s="166">
        <v>4.2637416604779368</v>
      </c>
      <c r="P10" s="166">
        <v>3.4982618329641979</v>
      </c>
      <c r="Q10" s="166">
        <v>0.46818750000000003</v>
      </c>
      <c r="R10" s="166">
        <v>3.9664493329641979</v>
      </c>
      <c r="S10" s="26"/>
      <c r="T10" s="167">
        <f t="shared" si="5"/>
        <v>3.3380358874306171</v>
      </c>
      <c r="U10" s="154">
        <v>8</v>
      </c>
      <c r="V10" s="163">
        <f t="shared" ca="1" si="1"/>
        <v>3.3380358874306171</v>
      </c>
      <c r="W10" s="163">
        <f t="shared" ca="1" si="1"/>
        <v>3.3292755061363088</v>
      </c>
      <c r="X10" s="163">
        <f t="shared" ca="1" si="1"/>
        <v>3.5254310341467963</v>
      </c>
      <c r="Y10" s="163">
        <f t="shared" ca="1" si="1"/>
        <v>3.6733823428631003</v>
      </c>
      <c r="Z10" s="163">
        <f t="shared" ca="1" si="1"/>
        <v>3.761074284406789</v>
      </c>
      <c r="AA10" s="163">
        <f t="shared" ca="1" si="1"/>
        <v>3.8549699531803072</v>
      </c>
      <c r="AB10" s="163">
        <f t="shared" ca="1" si="1"/>
        <v>3.9446865646502474</v>
      </c>
      <c r="AC10" s="163">
        <f t="shared" ca="1" si="1"/>
        <v>4.0251674956569241</v>
      </c>
      <c r="AD10" s="163">
        <f t="shared" ca="1" si="1"/>
        <v>4.1125826348143208</v>
      </c>
      <c r="AE10" s="163">
        <f t="shared" ca="1" si="1"/>
        <v>4.2095570223475853</v>
      </c>
      <c r="AF10" s="163">
        <f t="shared" ca="1" si="2"/>
        <v>4.3136434052598522</v>
      </c>
      <c r="AG10" s="163">
        <f t="shared" ca="1" si="2"/>
        <v>4.4260641643728968</v>
      </c>
      <c r="AH10" s="163">
        <f t="shared" ca="1" si="2"/>
        <v>4.5467144953666399</v>
      </c>
      <c r="AI10" s="163">
        <f t="shared" ca="1" si="2"/>
        <v>4.6574218939064442</v>
      </c>
      <c r="AJ10" s="163">
        <f t="shared" ca="1" si="2"/>
        <v>4.7594744838077601</v>
      </c>
      <c r="AK10" s="163">
        <f t="shared" ca="1" si="2"/>
        <v>4.8640478662113082</v>
      </c>
      <c r="AL10" s="163">
        <f t="shared" ca="1" si="2"/>
        <v>4.9735309735682103</v>
      </c>
      <c r="AM10" s="163">
        <f t="shared" ca="1" si="2"/>
        <v>5.0869583696576104</v>
      </c>
      <c r="AN10" s="163">
        <f t="shared" ca="1" si="2"/>
        <v>5.2050734463638024</v>
      </c>
      <c r="AO10" s="163">
        <f t="shared" ca="1" si="2"/>
        <v>2.6721674857244064</v>
      </c>
      <c r="AP10" s="73"/>
      <c r="AQ10" s="73"/>
    </row>
    <row r="11" spans="1:43">
      <c r="A11" s="156"/>
      <c r="B11" s="161">
        <v>1978</v>
      </c>
      <c r="C11" s="160">
        <v>32.410044434518987</v>
      </c>
      <c r="D11" s="77"/>
      <c r="E11" s="26">
        <f t="shared" si="3"/>
        <v>2017</v>
      </c>
      <c r="F11" s="26">
        <f t="shared" si="4"/>
        <v>9</v>
      </c>
      <c r="G11" s="165">
        <v>42979</v>
      </c>
      <c r="H11" s="26" t="s">
        <v>132</v>
      </c>
      <c r="I11" s="26"/>
      <c r="J11" s="166">
        <v>2.9265978168688562</v>
      </c>
      <c r="K11" s="166">
        <v>0.17129999999999992</v>
      </c>
      <c r="L11" s="166">
        <v>3.0978978168688562</v>
      </c>
      <c r="M11" s="166">
        <v>2.9265978168688562</v>
      </c>
      <c r="N11" s="166">
        <v>1.0058187458141103</v>
      </c>
      <c r="O11" s="166">
        <v>3.9324165626829668</v>
      </c>
      <c r="P11" s="166">
        <v>3.1918597577979404</v>
      </c>
      <c r="Q11" s="166">
        <v>0.46818750000000003</v>
      </c>
      <c r="R11" s="166">
        <v>3.6600472577979404</v>
      </c>
      <c r="S11" s="26"/>
      <c r="T11" s="167">
        <f t="shared" si="5"/>
        <v>3.0150184638452178</v>
      </c>
      <c r="U11" s="154">
        <v>9</v>
      </c>
      <c r="V11" s="163">
        <f t="shared" ca="1" si="1"/>
        <v>3.0150184638452178</v>
      </c>
      <c r="W11" s="163">
        <f t="shared" ca="1" si="1"/>
        <v>3.0334226031785381</v>
      </c>
      <c r="X11" s="163">
        <f t="shared" ca="1" si="1"/>
        <v>3.2243685987521942</v>
      </c>
      <c r="Y11" s="163">
        <f t="shared" ca="1" si="1"/>
        <v>3.3490679558169631</v>
      </c>
      <c r="Z11" s="163">
        <f t="shared" ca="1" si="1"/>
        <v>3.4262598417940922</v>
      </c>
      <c r="AA11" s="163">
        <f t="shared" ca="1" si="1"/>
        <v>3.513523535197475</v>
      </c>
      <c r="AB11" s="163">
        <f t="shared" ca="1" si="1"/>
        <v>3.5939296832441587</v>
      </c>
      <c r="AC11" s="163">
        <f t="shared" ca="1" si="1"/>
        <v>3.666662459371663</v>
      </c>
      <c r="AD11" s="163">
        <f t="shared" ca="1" si="1"/>
        <v>3.747382856592155</v>
      </c>
      <c r="AE11" s="163">
        <f t="shared" ca="1" si="1"/>
        <v>3.8359711952277045</v>
      </c>
      <c r="AF11" s="163">
        <f t="shared" ca="1" si="2"/>
        <v>3.9311038432264573</v>
      </c>
      <c r="AG11" s="163">
        <f t="shared" ca="1" si="2"/>
        <v>4.0339671841533864</v>
      </c>
      <c r="AH11" s="163">
        <f t="shared" ca="1" si="2"/>
        <v>4.1440609540447975</v>
      </c>
      <c r="AI11" s="163">
        <f t="shared" ca="1" si="2"/>
        <v>4.2433825809707582</v>
      </c>
      <c r="AJ11" s="163">
        <f t="shared" ca="1" si="2"/>
        <v>4.3364770354050926</v>
      </c>
      <c r="AK11" s="163">
        <f t="shared" ca="1" si="2"/>
        <v>4.4318610626922199</v>
      </c>
      <c r="AL11" s="163">
        <f t="shared" ca="1" si="2"/>
        <v>4.5318023265572629</v>
      </c>
      <c r="AM11" s="163">
        <f t="shared" ca="1" si="2"/>
        <v>4.6352410116687084</v>
      </c>
      <c r="AN11" s="163">
        <f t="shared" ca="1" si="2"/>
        <v>4.7430571003598665</v>
      </c>
      <c r="AO11" s="163">
        <f t="shared" ca="1" si="2"/>
        <v>2.1335457787251149</v>
      </c>
      <c r="AP11" s="73"/>
      <c r="AQ11" s="73"/>
    </row>
    <row r="12" spans="1:43">
      <c r="A12" s="156"/>
      <c r="B12" s="161">
        <v>1979</v>
      </c>
      <c r="C12" s="160">
        <v>35.11084373320238</v>
      </c>
      <c r="D12" s="77"/>
      <c r="E12" s="26">
        <f t="shared" si="3"/>
        <v>2017</v>
      </c>
      <c r="F12" s="26">
        <f t="shared" si="4"/>
        <v>10</v>
      </c>
      <c r="G12" s="165">
        <v>43009</v>
      </c>
      <c r="H12" s="26" t="s">
        <v>133</v>
      </c>
      <c r="I12" s="26"/>
      <c r="J12" s="166">
        <v>2.9126355314635992</v>
      </c>
      <c r="K12" s="166">
        <v>0.17129999999999992</v>
      </c>
      <c r="L12" s="166">
        <v>3.0839355314635992</v>
      </c>
      <c r="M12" s="166">
        <v>2.9126355314635992</v>
      </c>
      <c r="N12" s="166">
        <v>1.0058187458141103</v>
      </c>
      <c r="O12" s="166">
        <v>3.9184542772777098</v>
      </c>
      <c r="P12" s="166">
        <v>3.227161239858106</v>
      </c>
      <c r="Q12" s="166">
        <v>0.46818750000000003</v>
      </c>
      <c r="R12" s="166">
        <v>3.695348739858106</v>
      </c>
      <c r="S12" s="26"/>
      <c r="T12" s="167">
        <f t="shared" si="5"/>
        <v>3.0174774342617678</v>
      </c>
      <c r="U12" s="154">
        <v>10</v>
      </c>
      <c r="V12" s="163">
        <f t="shared" ca="1" si="1"/>
        <v>3.0174774342617678</v>
      </c>
      <c r="W12" s="163">
        <f t="shared" ca="1" si="1"/>
        <v>3.0626870055011808</v>
      </c>
      <c r="X12" s="163">
        <f t="shared" ca="1" si="1"/>
        <v>3.2678087790782455</v>
      </c>
      <c r="Y12" s="163">
        <f t="shared" ca="1" si="1"/>
        <v>3.3835141388750842</v>
      </c>
      <c r="Z12" s="163">
        <f t="shared" ca="1" si="1"/>
        <v>3.4587185103631781</v>
      </c>
      <c r="AA12" s="163">
        <f t="shared" ca="1" si="1"/>
        <v>3.548551729876277</v>
      </c>
      <c r="AB12" s="163">
        <f t="shared" ca="1" si="1"/>
        <v>3.6283834373537722</v>
      </c>
      <c r="AC12" s="163">
        <f t="shared" ca="1" si="1"/>
        <v>3.7012161311040508</v>
      </c>
      <c r="AD12" s="163">
        <f t="shared" ca="1" si="1"/>
        <v>3.7837984228552219</v>
      </c>
      <c r="AE12" s="163">
        <f t="shared" ca="1" si="1"/>
        <v>3.8734750112389058</v>
      </c>
      <c r="AF12" s="163">
        <f t="shared" ca="1" si="2"/>
        <v>3.9698239482153248</v>
      </c>
      <c r="AG12" s="163">
        <f t="shared" ca="1" si="2"/>
        <v>4.074116356908303</v>
      </c>
      <c r="AH12" s="163">
        <f t="shared" ca="1" si="2"/>
        <v>4.1854386641841206</v>
      </c>
      <c r="AI12" s="163">
        <f t="shared" ca="1" si="2"/>
        <v>4.2841564277826683</v>
      </c>
      <c r="AJ12" s="163">
        <f t="shared" ca="1" si="2"/>
        <v>4.3782606796100048</v>
      </c>
      <c r="AK12" s="163">
        <f t="shared" ca="1" si="2"/>
        <v>4.4746693146143155</v>
      </c>
      <c r="AL12" s="163">
        <f t="shared" ca="1" si="2"/>
        <v>4.5757637291520146</v>
      </c>
      <c r="AM12" s="163">
        <f t="shared" ca="1" si="2"/>
        <v>4.6802920604502871</v>
      </c>
      <c r="AN12" s="163">
        <f t="shared" ca="1" si="2"/>
        <v>4.7893472889951072</v>
      </c>
      <c r="AO12" s="163">
        <f t="shared" ca="1" si="2"/>
        <v>1.8502063685974484</v>
      </c>
      <c r="AP12" s="73"/>
      <c r="AQ12" s="73"/>
    </row>
    <row r="13" spans="1:43">
      <c r="A13" s="156"/>
      <c r="B13" s="161">
        <v>1980</v>
      </c>
      <c r="C13" s="160">
        <v>38.287588716479362</v>
      </c>
      <c r="D13" s="77"/>
      <c r="E13" s="26">
        <f t="shared" si="3"/>
        <v>2017</v>
      </c>
      <c r="F13" s="26">
        <f t="shared" si="4"/>
        <v>11</v>
      </c>
      <c r="G13" s="165">
        <v>43040</v>
      </c>
      <c r="H13" s="26" t="s">
        <v>134</v>
      </c>
      <c r="I13" s="26"/>
      <c r="J13" s="166">
        <v>2.8170898016878074</v>
      </c>
      <c r="K13" s="166">
        <v>0.17129999999999992</v>
      </c>
      <c r="L13" s="166">
        <v>2.9883898016878074</v>
      </c>
      <c r="M13" s="166">
        <v>2.8170898016878074</v>
      </c>
      <c r="N13" s="166">
        <v>1.0058187458141103</v>
      </c>
      <c r="O13" s="166">
        <v>3.8229085475019176</v>
      </c>
      <c r="P13" s="166">
        <v>3.1715820782697137</v>
      </c>
      <c r="Q13" s="166">
        <v>0.46818750000000003</v>
      </c>
      <c r="R13" s="166">
        <v>3.6397695782697137</v>
      </c>
      <c r="S13" s="26"/>
      <c r="T13" s="167">
        <f t="shared" si="5"/>
        <v>2.9352538938817765</v>
      </c>
      <c r="U13" s="154">
        <v>11</v>
      </c>
      <c r="V13" s="163">
        <f t="shared" ca="1" si="1"/>
        <v>2.9352538938817765</v>
      </c>
      <c r="W13" s="163">
        <f t="shared" ca="1" si="1"/>
        <v>3.005743224690379</v>
      </c>
      <c r="X13" s="163">
        <f t="shared" ca="1" si="1"/>
        <v>3.21914978993764</v>
      </c>
      <c r="Y13" s="163">
        <f t="shared" ca="1" si="1"/>
        <v>3.3227012208255964</v>
      </c>
      <c r="Z13" s="163">
        <f t="shared" ca="1" si="1"/>
        <v>3.3938272050189742</v>
      </c>
      <c r="AA13" s="163">
        <f t="shared" ca="1" si="1"/>
        <v>3.4836849121104678</v>
      </c>
      <c r="AB13" s="163">
        <f t="shared" ca="1" si="1"/>
        <v>3.5607079188841997</v>
      </c>
      <c r="AC13" s="163">
        <f t="shared" ca="1" si="1"/>
        <v>3.6315961636318832</v>
      </c>
      <c r="AD13" s="163">
        <f t="shared" ca="1" si="1"/>
        <v>3.7137055362353215</v>
      </c>
      <c r="AE13" s="163">
        <f t="shared" ca="1" si="1"/>
        <v>3.8019439468039522</v>
      </c>
      <c r="AF13" s="163">
        <f t="shared" ca="1" si="2"/>
        <v>3.8967943156837097</v>
      </c>
      <c r="AG13" s="163">
        <f t="shared" ca="1" si="2"/>
        <v>3.999576029404484</v>
      </c>
      <c r="AH13" s="163">
        <f t="shared" ca="1" si="2"/>
        <v>4.1089918037608237</v>
      </c>
      <c r="AI13" s="163">
        <f t="shared" ca="1" si="2"/>
        <v>4.204341855560549</v>
      </c>
      <c r="AJ13" s="163">
        <f t="shared" ca="1" si="2"/>
        <v>4.2968060068081328</v>
      </c>
      <c r="AK13" s="163">
        <f t="shared" ca="1" si="2"/>
        <v>4.3915245572101815</v>
      </c>
      <c r="AL13" s="163">
        <f t="shared" ca="1" si="2"/>
        <v>4.490924731308314</v>
      </c>
      <c r="AM13" s="163">
        <f t="shared" ca="1" si="2"/>
        <v>4.5935995845526811</v>
      </c>
      <c r="AN13" s="163">
        <f t="shared" ca="1" si="2"/>
        <v>4.700822386475104</v>
      </c>
      <c r="AO13" s="163">
        <f t="shared" ca="1" si="2"/>
        <v>1.5176765624163602</v>
      </c>
      <c r="AP13" s="73"/>
      <c r="AQ13" s="73"/>
    </row>
    <row r="14" spans="1:43">
      <c r="A14" s="156"/>
      <c r="B14" s="161">
        <v>1981</v>
      </c>
      <c r="C14" s="160">
        <v>41.910164838179185</v>
      </c>
      <c r="D14" s="77"/>
      <c r="E14" s="26">
        <f t="shared" si="3"/>
        <v>2017</v>
      </c>
      <c r="F14" s="26">
        <f t="shared" si="4"/>
        <v>12</v>
      </c>
      <c r="G14" s="165">
        <v>43070</v>
      </c>
      <c r="H14" s="26" t="s">
        <v>135</v>
      </c>
      <c r="I14" s="26"/>
      <c r="J14" s="166">
        <v>3.0681365310800004</v>
      </c>
      <c r="K14" s="166">
        <v>0.17129999999999992</v>
      </c>
      <c r="L14" s="166">
        <v>3.2394365310800004</v>
      </c>
      <c r="M14" s="166">
        <v>3.0681365310800004</v>
      </c>
      <c r="N14" s="166">
        <v>1.0058187458141103</v>
      </c>
      <c r="O14" s="166">
        <v>4.073955276894111</v>
      </c>
      <c r="P14" s="166">
        <v>3.5105909987166939</v>
      </c>
      <c r="Q14" s="166">
        <v>0.46818750000000003</v>
      </c>
      <c r="R14" s="166">
        <v>3.9787784987166939</v>
      </c>
      <c r="S14" s="26"/>
      <c r="T14" s="167">
        <f t="shared" si="5"/>
        <v>3.2156213536255649</v>
      </c>
      <c r="U14" s="154">
        <v>12</v>
      </c>
      <c r="V14" s="163">
        <f t="shared" ca="1" si="1"/>
        <v>3.2156213536255649</v>
      </c>
      <c r="W14" s="163">
        <f t="shared" ca="1" si="1"/>
        <v>3.3223949667097181</v>
      </c>
      <c r="X14" s="163">
        <f t="shared" ca="1" si="1"/>
        <v>3.5716504421973769</v>
      </c>
      <c r="Y14" s="163">
        <f t="shared" ca="1" si="1"/>
        <v>3.6750597594675654</v>
      </c>
      <c r="Z14" s="163">
        <f t="shared" ca="1" si="1"/>
        <v>3.7507177207559823</v>
      </c>
      <c r="AA14" s="163">
        <f t="shared" ca="1" si="1"/>
        <v>3.8519142178461352</v>
      </c>
      <c r="AB14" s="163">
        <f t="shared" ca="1" si="1"/>
        <v>3.9355882771698325</v>
      </c>
      <c r="AC14" s="163">
        <f t="shared" ca="1" si="1"/>
        <v>4.0132923566395213</v>
      </c>
      <c r="AD14" s="163">
        <f t="shared" ca="1" si="1"/>
        <v>4.1052257487361272</v>
      </c>
      <c r="AE14" s="163">
        <f t="shared" ca="1" si="1"/>
        <v>4.2030131561791775</v>
      </c>
      <c r="AF14" s="163">
        <f t="shared" ca="1" si="2"/>
        <v>4.3081794252016943</v>
      </c>
      <c r="AG14" s="163">
        <f t="shared" ca="1" si="2"/>
        <v>4.4222623717150791</v>
      </c>
      <c r="AH14" s="163">
        <f t="shared" ca="1" si="2"/>
        <v>4.5433853453848441</v>
      </c>
      <c r="AI14" s="163">
        <f t="shared" ca="1" si="2"/>
        <v>4.6470875274148096</v>
      </c>
      <c r="AJ14" s="163">
        <f t="shared" ca="1" si="2"/>
        <v>4.7494137156381369</v>
      </c>
      <c r="AK14" s="163">
        <f t="shared" ca="1" si="2"/>
        <v>4.8542239139466146</v>
      </c>
      <c r="AL14" s="163">
        <f t="shared" ca="1" si="2"/>
        <v>4.9643006021685681</v>
      </c>
      <c r="AM14" s="163">
        <f t="shared" ca="1" si="2"/>
        <v>5.0778915626111054</v>
      </c>
      <c r="AN14" s="163">
        <f t="shared" ca="1" si="2"/>
        <v>5.196625841263379</v>
      </c>
      <c r="AO14" s="163">
        <f t="shared" ca="1" si="2"/>
        <v>1.3481822957655287</v>
      </c>
      <c r="AP14" s="73"/>
      <c r="AQ14" s="73"/>
    </row>
    <row r="15" spans="1:43">
      <c r="A15" s="156"/>
      <c r="B15" s="161">
        <v>1982</v>
      </c>
      <c r="C15" s="160">
        <v>44.498657257909947</v>
      </c>
      <c r="D15" s="77"/>
      <c r="E15" s="26">
        <f t="shared" si="3"/>
        <v>2018</v>
      </c>
      <c r="F15" s="26">
        <f t="shared" si="4"/>
        <v>1</v>
      </c>
      <c r="G15" s="165">
        <v>43101</v>
      </c>
      <c r="H15" s="26" t="s">
        <v>136</v>
      </c>
      <c r="I15" s="26"/>
      <c r="J15" s="166">
        <v>3.3339633889016667</v>
      </c>
      <c r="K15" s="166">
        <v>0.17129999999999992</v>
      </c>
      <c r="L15" s="166">
        <v>3.5052633889016667</v>
      </c>
      <c r="M15" s="166">
        <v>3.3339633889016667</v>
      </c>
      <c r="N15" s="166">
        <v>1.0058187458141103</v>
      </c>
      <c r="O15" s="166">
        <v>4.3397821347157768</v>
      </c>
      <c r="P15" s="166">
        <v>3.8241453227191893</v>
      </c>
      <c r="Q15" s="166">
        <v>0.46818750000000003</v>
      </c>
      <c r="R15" s="166">
        <v>4.2923328227191897</v>
      </c>
      <c r="S15" s="26"/>
      <c r="T15" s="167">
        <f t="shared" si="5"/>
        <v>3.4973573668408409</v>
      </c>
    </row>
    <row r="16" spans="1:43">
      <c r="A16" s="156"/>
      <c r="B16" s="161">
        <v>1983</v>
      </c>
      <c r="C16" s="160">
        <v>46.231262575945266</v>
      </c>
      <c r="D16" s="77"/>
      <c r="E16" s="26">
        <f t="shared" si="3"/>
        <v>2018</v>
      </c>
      <c r="F16" s="26">
        <f t="shared" si="4"/>
        <v>2</v>
      </c>
      <c r="G16" s="165">
        <v>43132</v>
      </c>
      <c r="H16" s="26" t="s">
        <v>137</v>
      </c>
      <c r="I16" s="26"/>
      <c r="J16" s="166">
        <v>3.3530613968056375</v>
      </c>
      <c r="K16" s="166">
        <v>0.17129999999999992</v>
      </c>
      <c r="L16" s="166">
        <v>3.5243613968056375</v>
      </c>
      <c r="M16" s="166">
        <v>3.3530613968056375</v>
      </c>
      <c r="N16" s="166">
        <v>1.0058187458141103</v>
      </c>
      <c r="O16" s="166">
        <v>4.3588801426197481</v>
      </c>
      <c r="P16" s="166">
        <v>3.9083297151926195</v>
      </c>
      <c r="Q16" s="166">
        <v>0.46818750000000003</v>
      </c>
      <c r="R16" s="166">
        <v>4.3765172151926199</v>
      </c>
      <c r="S16" s="26"/>
      <c r="T16" s="167">
        <f t="shared" si="5"/>
        <v>3.538150836267965</v>
      </c>
    </row>
    <row r="17" spans="1:20">
      <c r="A17" s="156"/>
      <c r="B17" s="161">
        <v>1984</v>
      </c>
      <c r="C17" s="160">
        <v>47.904091651957408</v>
      </c>
      <c r="D17" s="77"/>
      <c r="E17" s="26">
        <f t="shared" si="3"/>
        <v>2018</v>
      </c>
      <c r="F17" s="26">
        <f t="shared" si="4"/>
        <v>3</v>
      </c>
      <c r="G17" s="165">
        <v>43160</v>
      </c>
      <c r="H17" s="26" t="s">
        <v>138</v>
      </c>
      <c r="I17" s="26"/>
      <c r="J17" s="166">
        <v>2.950468942957106</v>
      </c>
      <c r="K17" s="166">
        <v>0.17129999999999992</v>
      </c>
      <c r="L17" s="166">
        <v>3.1217689429571061</v>
      </c>
      <c r="M17" s="166">
        <v>2.950468942957106</v>
      </c>
      <c r="N17" s="166">
        <v>1.0058187458141103</v>
      </c>
      <c r="O17" s="166">
        <v>3.9562876887712166</v>
      </c>
      <c r="P17" s="166">
        <v>3.4954898950191033</v>
      </c>
      <c r="Q17" s="166">
        <v>0.46818750000000003</v>
      </c>
      <c r="R17" s="166">
        <v>3.9636773950191033</v>
      </c>
      <c r="S17" s="26"/>
      <c r="T17" s="167">
        <f t="shared" si="5"/>
        <v>3.1321425936444385</v>
      </c>
    </row>
    <row r="18" spans="1:20">
      <c r="A18" s="156"/>
      <c r="B18" s="161">
        <v>1985</v>
      </c>
      <c r="C18" s="160">
        <v>49.420913793295433</v>
      </c>
      <c r="D18" s="77"/>
      <c r="E18" s="26">
        <f t="shared" si="3"/>
        <v>2018</v>
      </c>
      <c r="F18" s="26">
        <f t="shared" si="4"/>
        <v>4</v>
      </c>
      <c r="G18" s="165">
        <v>43191</v>
      </c>
      <c r="H18" s="26" t="s">
        <v>139</v>
      </c>
      <c r="I18" s="26"/>
      <c r="J18" s="166">
        <v>2.9020062382636365</v>
      </c>
      <c r="K18" s="166">
        <v>0.17129999999999992</v>
      </c>
      <c r="L18" s="166">
        <v>3.0733062382636365</v>
      </c>
      <c r="M18" s="166">
        <v>2.9020062382636365</v>
      </c>
      <c r="N18" s="166">
        <v>1.0058187458141103</v>
      </c>
      <c r="O18" s="166">
        <v>3.907824984077747</v>
      </c>
      <c r="P18" s="166">
        <v>3.4952367716916499</v>
      </c>
      <c r="Q18" s="166">
        <v>0.46818750000000003</v>
      </c>
      <c r="R18" s="166">
        <v>3.9634242716916499</v>
      </c>
      <c r="S18" s="26"/>
      <c r="T18" s="167">
        <f t="shared" si="5"/>
        <v>3.0997497494063073</v>
      </c>
    </row>
    <row r="19" spans="1:20">
      <c r="A19" s="156"/>
      <c r="B19" s="161">
        <v>1986</v>
      </c>
      <c r="C19" s="160">
        <v>50.418543044636742</v>
      </c>
      <c r="D19" s="77"/>
      <c r="E19" s="26">
        <f t="shared" si="3"/>
        <v>2018</v>
      </c>
      <c r="F19" s="26">
        <f t="shared" si="4"/>
        <v>5</v>
      </c>
      <c r="G19" s="165">
        <v>43221</v>
      </c>
      <c r="H19" s="26" t="s">
        <v>140</v>
      </c>
      <c r="I19" s="26"/>
      <c r="J19" s="166">
        <v>3.0064507634311339</v>
      </c>
      <c r="K19" s="166">
        <v>0.17129999999999992</v>
      </c>
      <c r="L19" s="166">
        <v>3.1777507634311339</v>
      </c>
      <c r="M19" s="166">
        <v>3.0064507634311339</v>
      </c>
      <c r="N19" s="166">
        <v>1.0058187458141103</v>
      </c>
      <c r="O19" s="166">
        <v>4.0122695092452441</v>
      </c>
      <c r="P19" s="166">
        <v>3.6820563494543559</v>
      </c>
      <c r="Q19" s="166">
        <v>0.46818750000000003</v>
      </c>
      <c r="R19" s="166">
        <v>4.1502438494543563</v>
      </c>
      <c r="S19" s="26"/>
      <c r="T19" s="167">
        <f t="shared" si="5"/>
        <v>3.2316526254388744</v>
      </c>
    </row>
    <row r="20" spans="1:20">
      <c r="A20" s="156"/>
      <c r="B20" s="161">
        <v>1987</v>
      </c>
      <c r="C20" s="160">
        <v>51.661390743368543</v>
      </c>
      <c r="D20" s="77"/>
      <c r="E20" s="26">
        <f t="shared" si="3"/>
        <v>2018</v>
      </c>
      <c r="F20" s="26">
        <f t="shared" si="4"/>
        <v>6</v>
      </c>
      <c r="G20" s="165">
        <v>43252</v>
      </c>
      <c r="H20" s="26" t="s">
        <v>141</v>
      </c>
      <c r="I20" s="26"/>
      <c r="J20" s="166">
        <v>3.1562008548827634</v>
      </c>
      <c r="K20" s="166">
        <v>0.17129999999999992</v>
      </c>
      <c r="L20" s="166">
        <v>3.3275008548827634</v>
      </c>
      <c r="M20" s="166">
        <v>3.1562008548827634</v>
      </c>
      <c r="N20" s="166">
        <v>1.0058187458141103</v>
      </c>
      <c r="O20" s="166">
        <v>4.1620196006968735</v>
      </c>
      <c r="P20" s="166">
        <v>3.5015881341950861</v>
      </c>
      <c r="Q20" s="166">
        <v>0.46818750000000003</v>
      </c>
      <c r="R20" s="166">
        <v>3.9697756341950861</v>
      </c>
      <c r="S20" s="26"/>
      <c r="T20" s="167">
        <f t="shared" si="5"/>
        <v>3.2713299479868709</v>
      </c>
    </row>
    <row r="21" spans="1:20">
      <c r="A21" s="156"/>
      <c r="B21" s="161">
        <v>1988</v>
      </c>
      <c r="C21" s="160">
        <v>53.482528298642734</v>
      </c>
      <c r="D21" s="77"/>
      <c r="E21" s="26">
        <f t="shared" si="3"/>
        <v>2018</v>
      </c>
      <c r="F21" s="26">
        <f t="shared" si="4"/>
        <v>7</v>
      </c>
      <c r="G21" s="165">
        <v>43282</v>
      </c>
      <c r="H21" s="26" t="s">
        <v>142</v>
      </c>
      <c r="I21" s="26"/>
      <c r="J21" s="166">
        <v>3.1910033834072586</v>
      </c>
      <c r="K21" s="166">
        <v>0.17129999999999992</v>
      </c>
      <c r="L21" s="166">
        <v>3.3623033834072587</v>
      </c>
      <c r="M21" s="166">
        <v>3.1910033834072586</v>
      </c>
      <c r="N21" s="166">
        <v>1.0058187458141103</v>
      </c>
      <c r="O21" s="166">
        <v>4.1968221292213688</v>
      </c>
      <c r="P21" s="166">
        <v>3.5298957988130892</v>
      </c>
      <c r="Q21" s="166">
        <v>0.46818750000000003</v>
      </c>
      <c r="R21" s="166">
        <v>3.9980832988130892</v>
      </c>
      <c r="S21" s="26"/>
      <c r="T21" s="167">
        <f t="shared" si="5"/>
        <v>3.3039675218758688</v>
      </c>
    </row>
    <row r="22" spans="1:20">
      <c r="A22" s="156"/>
      <c r="B22" s="161">
        <v>1989</v>
      </c>
      <c r="C22" s="160">
        <v>55.582848075184238</v>
      </c>
      <c r="D22" s="77"/>
      <c r="E22" s="26">
        <f t="shared" si="3"/>
        <v>2018</v>
      </c>
      <c r="F22" s="26">
        <f t="shared" si="4"/>
        <v>8</v>
      </c>
      <c r="G22" s="165">
        <v>43313</v>
      </c>
      <c r="H22" s="26" t="s">
        <v>143</v>
      </c>
      <c r="I22" s="26"/>
      <c r="J22" s="166">
        <v>3.2187834445530927</v>
      </c>
      <c r="K22" s="166">
        <v>0.17129999999999992</v>
      </c>
      <c r="L22" s="166">
        <v>3.3900834445530927</v>
      </c>
      <c r="M22" s="166">
        <v>3.2187834445530927</v>
      </c>
      <c r="N22" s="166">
        <v>1.0058187458141103</v>
      </c>
      <c r="O22" s="166">
        <v>4.2246021903672029</v>
      </c>
      <c r="P22" s="166">
        <v>3.5502596293027415</v>
      </c>
      <c r="Q22" s="166">
        <v>0.46818750000000003</v>
      </c>
      <c r="R22" s="166">
        <v>4.0184471293027419</v>
      </c>
      <c r="S22" s="26"/>
      <c r="T22" s="167">
        <f t="shared" si="5"/>
        <v>3.3292755061363088</v>
      </c>
    </row>
    <row r="23" spans="1:20">
      <c r="A23" s="156"/>
      <c r="B23" s="161">
        <v>1990</v>
      </c>
      <c r="C23" s="160">
        <v>57.667997366060767</v>
      </c>
      <c r="D23" s="77"/>
      <c r="E23" s="26">
        <f t="shared" si="3"/>
        <v>2018</v>
      </c>
      <c r="F23" s="26">
        <f t="shared" si="4"/>
        <v>9</v>
      </c>
      <c r="G23" s="165">
        <v>43344</v>
      </c>
      <c r="H23" s="26" t="s">
        <v>144</v>
      </c>
      <c r="I23" s="26"/>
      <c r="J23" s="166">
        <v>2.9357886586270014</v>
      </c>
      <c r="K23" s="166">
        <v>0.17129999999999992</v>
      </c>
      <c r="L23" s="166">
        <v>3.1070886586270015</v>
      </c>
      <c r="M23" s="166">
        <v>2.9357886586270014</v>
      </c>
      <c r="N23" s="166">
        <v>1.0058187458141103</v>
      </c>
      <c r="O23" s="166">
        <v>3.941607404441112</v>
      </c>
      <c r="P23" s="166">
        <v>3.2286904922816109</v>
      </c>
      <c r="Q23" s="166">
        <v>0.46818750000000003</v>
      </c>
      <c r="R23" s="166">
        <v>3.6968779922816108</v>
      </c>
      <c r="S23" s="26"/>
      <c r="T23" s="167">
        <f t="shared" si="5"/>
        <v>3.0334226031785381</v>
      </c>
    </row>
    <row r="24" spans="1:20">
      <c r="A24" s="156"/>
      <c r="B24" s="161">
        <v>1991</v>
      </c>
      <c r="C24" s="160">
        <v>59.614800884679141</v>
      </c>
      <c r="D24" s="77"/>
      <c r="E24" s="26">
        <f t="shared" si="3"/>
        <v>2018</v>
      </c>
      <c r="F24" s="26">
        <f t="shared" si="4"/>
        <v>10</v>
      </c>
      <c r="G24" s="165">
        <v>43374</v>
      </c>
      <c r="H24" s="26" t="s">
        <v>145</v>
      </c>
      <c r="I24" s="26"/>
      <c r="J24" s="166">
        <v>2.9671783573266706</v>
      </c>
      <c r="K24" s="166">
        <v>0.17129999999999992</v>
      </c>
      <c r="L24" s="166">
        <v>3.1384783573266706</v>
      </c>
      <c r="M24" s="166">
        <v>2.9671783573266706</v>
      </c>
      <c r="N24" s="166">
        <v>1.0058187458141103</v>
      </c>
      <c r="O24" s="166">
        <v>3.9729971031407807</v>
      </c>
      <c r="P24" s="166">
        <v>3.2537043018502021</v>
      </c>
      <c r="Q24" s="166">
        <v>0.46818750000000003</v>
      </c>
      <c r="R24" s="166">
        <v>3.7218918018502021</v>
      </c>
      <c r="S24" s="26"/>
      <c r="T24" s="167">
        <f t="shared" si="5"/>
        <v>3.0626870055011808</v>
      </c>
    </row>
    <row r="25" spans="1:20">
      <c r="A25" s="156"/>
      <c r="B25" s="161">
        <v>1992</v>
      </c>
      <c r="C25" s="160">
        <v>60.971540438477838</v>
      </c>
      <c r="D25" s="77"/>
      <c r="E25" s="26">
        <f t="shared" si="3"/>
        <v>2018</v>
      </c>
      <c r="F25" s="26">
        <f t="shared" si="4"/>
        <v>11</v>
      </c>
      <c r="G25" s="165">
        <v>43405</v>
      </c>
      <c r="H25" s="26" t="s">
        <v>146</v>
      </c>
      <c r="I25" s="26"/>
      <c r="J25" s="166">
        <v>2.9150190839238834</v>
      </c>
      <c r="K25" s="166">
        <v>0.17129999999999992</v>
      </c>
      <c r="L25" s="166">
        <v>3.0863190839238834</v>
      </c>
      <c r="M25" s="166">
        <v>2.9150190839238834</v>
      </c>
      <c r="N25" s="166">
        <v>1.0058187458141103</v>
      </c>
      <c r="O25" s="166">
        <v>3.9208378297379936</v>
      </c>
      <c r="P25" s="166">
        <v>3.1871915062233702</v>
      </c>
      <c r="Q25" s="166">
        <v>0.46818750000000003</v>
      </c>
      <c r="R25" s="166">
        <v>3.6553790062233702</v>
      </c>
      <c r="S25" s="26"/>
      <c r="T25" s="167">
        <f t="shared" si="5"/>
        <v>3.005743224690379</v>
      </c>
    </row>
    <row r="26" spans="1:20">
      <c r="A26" s="156"/>
      <c r="B26" s="161">
        <v>1993</v>
      </c>
      <c r="C26" s="160">
        <v>62.417491504992917</v>
      </c>
      <c r="D26" s="77"/>
      <c r="E26" s="26">
        <f t="shared" si="3"/>
        <v>2018</v>
      </c>
      <c r="F26" s="26">
        <f t="shared" si="4"/>
        <v>12</v>
      </c>
      <c r="G26" s="165">
        <v>43435</v>
      </c>
      <c r="H26" s="26" t="s">
        <v>147</v>
      </c>
      <c r="I26" s="26"/>
      <c r="J26" s="166">
        <v>3.225437257579773</v>
      </c>
      <c r="K26" s="166">
        <v>0.17129999999999992</v>
      </c>
      <c r="L26" s="166">
        <v>3.396737257579773</v>
      </c>
      <c r="M26" s="166">
        <v>3.225437257579773</v>
      </c>
      <c r="N26" s="166">
        <v>1.0058187458141103</v>
      </c>
      <c r="O26" s="166">
        <v>4.2312560033938835</v>
      </c>
      <c r="P26" s="166">
        <v>3.5163103849696093</v>
      </c>
      <c r="Q26" s="166">
        <v>0.46818750000000003</v>
      </c>
      <c r="R26" s="166">
        <v>3.9844978849696093</v>
      </c>
      <c r="S26" s="26"/>
      <c r="T26" s="167">
        <f t="shared" si="5"/>
        <v>3.3223949667097181</v>
      </c>
    </row>
    <row r="27" spans="1:20">
      <c r="A27" s="156"/>
      <c r="B27" s="161">
        <v>1994</v>
      </c>
      <c r="C27" s="160">
        <v>63.749550716441142</v>
      </c>
      <c r="D27" s="77"/>
      <c r="E27" s="26">
        <f t="shared" si="3"/>
        <v>2019</v>
      </c>
      <c r="F27" s="26">
        <f t="shared" si="4"/>
        <v>1</v>
      </c>
      <c r="G27" s="165">
        <v>43466</v>
      </c>
      <c r="H27" s="26" t="s">
        <v>148</v>
      </c>
      <c r="I27" s="26"/>
      <c r="J27" s="166">
        <v>3.5177556231794509</v>
      </c>
      <c r="K27" s="166">
        <v>0.17129999999999992</v>
      </c>
      <c r="L27" s="166">
        <v>3.6890556231794509</v>
      </c>
      <c r="M27" s="166">
        <v>3.5177556231794509</v>
      </c>
      <c r="N27" s="166">
        <v>1.0058187458141103</v>
      </c>
      <c r="O27" s="166">
        <v>4.523574368993561</v>
      </c>
      <c r="P27" s="166">
        <v>3.8304530417701494</v>
      </c>
      <c r="Q27" s="166">
        <v>0.46818750000000003</v>
      </c>
      <c r="R27" s="166">
        <v>4.2986405417701494</v>
      </c>
      <c r="S27" s="26"/>
      <c r="T27" s="167">
        <f t="shared" si="5"/>
        <v>3.6219880960430171</v>
      </c>
    </row>
    <row r="28" spans="1:20">
      <c r="A28" s="156"/>
      <c r="B28" s="161">
        <v>1995</v>
      </c>
      <c r="C28" s="160">
        <v>65.087723407187198</v>
      </c>
      <c r="D28" s="77"/>
      <c r="E28" s="26">
        <f t="shared" si="3"/>
        <v>2019</v>
      </c>
      <c r="F28" s="26">
        <f t="shared" si="4"/>
        <v>2</v>
      </c>
      <c r="G28" s="165">
        <v>43497</v>
      </c>
      <c r="H28" s="26" t="s">
        <v>149</v>
      </c>
      <c r="I28" s="26"/>
      <c r="J28" s="166">
        <v>3.5939226823689854</v>
      </c>
      <c r="K28" s="166">
        <v>0.17129999999999992</v>
      </c>
      <c r="L28" s="166">
        <v>3.7652226823689854</v>
      </c>
      <c r="M28" s="166">
        <v>3.5939226823689854</v>
      </c>
      <c r="N28" s="166">
        <v>1.0058187458141103</v>
      </c>
      <c r="O28" s="166">
        <v>4.5997414281830959</v>
      </c>
      <c r="P28" s="166">
        <v>3.9022392687967389</v>
      </c>
      <c r="Q28" s="166">
        <v>0.46818750000000003</v>
      </c>
      <c r="R28" s="166">
        <v>4.3704267687967393</v>
      </c>
      <c r="S28" s="26"/>
      <c r="T28" s="167">
        <f t="shared" si="5"/>
        <v>3.6966948778449034</v>
      </c>
    </row>
    <row r="29" spans="1:20">
      <c r="A29" s="156"/>
      <c r="B29" s="161">
        <v>1996</v>
      </c>
      <c r="C29" s="160">
        <v>66.278493319307913</v>
      </c>
      <c r="D29" s="77"/>
      <c r="E29" s="26">
        <f t="shared" si="3"/>
        <v>2019</v>
      </c>
      <c r="F29" s="26">
        <f t="shared" si="4"/>
        <v>3</v>
      </c>
      <c r="G29" s="165">
        <v>43525</v>
      </c>
      <c r="H29" s="26" t="s">
        <v>150</v>
      </c>
      <c r="I29" s="26"/>
      <c r="J29" s="166">
        <v>3.2131594463593909</v>
      </c>
      <c r="K29" s="166">
        <v>0.17129999999999992</v>
      </c>
      <c r="L29" s="166">
        <v>3.3844594463593909</v>
      </c>
      <c r="M29" s="166">
        <v>3.2131594463593909</v>
      </c>
      <c r="N29" s="166">
        <v>1.0058187458141103</v>
      </c>
      <c r="O29" s="166">
        <v>4.218978192173501</v>
      </c>
      <c r="P29" s="166">
        <v>3.4788656729738783</v>
      </c>
      <c r="Q29" s="166">
        <v>0.46818750000000003</v>
      </c>
      <c r="R29" s="166">
        <v>3.9470531729738783</v>
      </c>
      <c r="S29" s="26"/>
      <c r="T29" s="167">
        <f t="shared" si="5"/>
        <v>3.3017281885642205</v>
      </c>
    </row>
    <row r="30" spans="1:20">
      <c r="A30" s="156"/>
      <c r="B30" s="161">
        <v>1997</v>
      </c>
      <c r="C30" s="160">
        <v>67.421940373160282</v>
      </c>
      <c r="D30" s="77"/>
      <c r="E30" s="26">
        <f t="shared" si="3"/>
        <v>2019</v>
      </c>
      <c r="F30" s="26">
        <f t="shared" si="4"/>
        <v>4</v>
      </c>
      <c r="G30" s="165">
        <v>43556</v>
      </c>
      <c r="H30" s="26" t="s">
        <v>151</v>
      </c>
      <c r="I30" s="26"/>
      <c r="J30" s="166">
        <v>3.2117959790253283</v>
      </c>
      <c r="K30" s="166">
        <v>0.17129999999999992</v>
      </c>
      <c r="L30" s="166">
        <v>3.3830959790253283</v>
      </c>
      <c r="M30" s="166">
        <v>3.2117959790253283</v>
      </c>
      <c r="N30" s="166">
        <v>1.0058187458141103</v>
      </c>
      <c r="O30" s="166">
        <v>4.2176147248394384</v>
      </c>
      <c r="P30" s="166">
        <v>3.4674728904807344</v>
      </c>
      <c r="Q30" s="166">
        <v>0.46818750000000003</v>
      </c>
      <c r="R30" s="166">
        <v>3.9356603904807343</v>
      </c>
      <c r="S30" s="26"/>
      <c r="T30" s="167">
        <f t="shared" si="5"/>
        <v>3.2970216161771302</v>
      </c>
    </row>
    <row r="31" spans="1:20">
      <c r="A31" s="156"/>
      <c r="B31" s="161">
        <v>1998</v>
      </c>
      <c r="C31" s="160">
        <v>68.180464656408887</v>
      </c>
      <c r="D31" s="77"/>
      <c r="E31" s="26">
        <f t="shared" si="3"/>
        <v>2019</v>
      </c>
      <c r="F31" s="26">
        <f t="shared" si="4"/>
        <v>5</v>
      </c>
      <c r="G31" s="165">
        <v>43586</v>
      </c>
      <c r="H31" s="26" t="s">
        <v>152</v>
      </c>
      <c r="I31" s="26"/>
      <c r="J31" s="166">
        <v>3.382278255974839</v>
      </c>
      <c r="K31" s="166">
        <v>0.17129999999999992</v>
      </c>
      <c r="L31" s="166">
        <v>3.553578255974839</v>
      </c>
      <c r="M31" s="166">
        <v>3.382278255974839</v>
      </c>
      <c r="N31" s="166">
        <v>1.0058187458141103</v>
      </c>
      <c r="O31" s="166">
        <v>4.3880970017889496</v>
      </c>
      <c r="P31" s="166">
        <v>3.6411093146412612</v>
      </c>
      <c r="Q31" s="166">
        <v>0.46818750000000003</v>
      </c>
      <c r="R31" s="166">
        <v>4.1092968146412616</v>
      </c>
      <c r="S31" s="26"/>
      <c r="T31" s="167">
        <f t="shared" si="5"/>
        <v>3.4685552755303131</v>
      </c>
    </row>
    <row r="32" spans="1:20">
      <c r="A32" s="156"/>
      <c r="B32" s="161">
        <v>1999</v>
      </c>
      <c r="C32" s="160">
        <v>69.164281973040275</v>
      </c>
      <c r="D32" s="77"/>
      <c r="E32" s="26">
        <f t="shared" si="3"/>
        <v>2019</v>
      </c>
      <c r="F32" s="26">
        <f t="shared" si="4"/>
        <v>6</v>
      </c>
      <c r="G32" s="165">
        <v>43617</v>
      </c>
      <c r="H32" s="26" t="s">
        <v>153</v>
      </c>
      <c r="I32" s="26"/>
      <c r="J32" s="166">
        <v>3.3319557231050205</v>
      </c>
      <c r="K32" s="166">
        <v>0.17129999999999992</v>
      </c>
      <c r="L32" s="166">
        <v>3.5032557231050205</v>
      </c>
      <c r="M32" s="166">
        <v>3.3319557231050205</v>
      </c>
      <c r="N32" s="166">
        <v>1.0058187458141103</v>
      </c>
      <c r="O32" s="166">
        <v>4.3377744689191307</v>
      </c>
      <c r="P32" s="166">
        <v>3.6491651378746752</v>
      </c>
      <c r="Q32" s="166">
        <v>0.46818750000000003</v>
      </c>
      <c r="R32" s="166">
        <v>4.1173526378746752</v>
      </c>
      <c r="S32" s="26"/>
      <c r="T32" s="167">
        <f t="shared" si="5"/>
        <v>3.4376921946949053</v>
      </c>
    </row>
    <row r="33" spans="1:20">
      <c r="A33" s="156"/>
      <c r="B33" s="161">
        <v>2000</v>
      </c>
      <c r="C33" s="160">
        <v>70.710992235389895</v>
      </c>
      <c r="D33" s="77"/>
      <c r="E33" s="26">
        <f t="shared" si="3"/>
        <v>2019</v>
      </c>
      <c r="F33" s="26">
        <f t="shared" si="4"/>
        <v>7</v>
      </c>
      <c r="G33" s="165">
        <v>43647</v>
      </c>
      <c r="H33" s="26" t="s">
        <v>154</v>
      </c>
      <c r="I33" s="26"/>
      <c r="J33" s="166">
        <v>3.3775465023000049</v>
      </c>
      <c r="K33" s="166">
        <v>0.17129999999999992</v>
      </c>
      <c r="L33" s="166">
        <v>3.5488465023000049</v>
      </c>
      <c r="M33" s="166">
        <v>3.3775465023000049</v>
      </c>
      <c r="N33" s="166">
        <v>1.0058187458141103</v>
      </c>
      <c r="O33" s="166">
        <v>4.3833652481141154</v>
      </c>
      <c r="P33" s="166">
        <v>3.7008487627833624</v>
      </c>
      <c r="Q33" s="166">
        <v>0.46818750000000003</v>
      </c>
      <c r="R33" s="166">
        <v>4.1690362627833624</v>
      </c>
      <c r="S33" s="26"/>
      <c r="T33" s="167">
        <f t="shared" si="5"/>
        <v>3.485313922461124</v>
      </c>
    </row>
    <row r="34" spans="1:20">
      <c r="A34" s="156"/>
      <c r="B34" s="161">
        <v>2001</v>
      </c>
      <c r="C34" s="160">
        <v>72.265627378310768</v>
      </c>
      <c r="D34" s="77"/>
      <c r="E34" s="26">
        <f t="shared" si="3"/>
        <v>2019</v>
      </c>
      <c r="F34" s="26">
        <f t="shared" si="4"/>
        <v>8</v>
      </c>
      <c r="G34" s="165">
        <v>43678</v>
      </c>
      <c r="H34" s="26" t="s">
        <v>155</v>
      </c>
      <c r="I34" s="26"/>
      <c r="J34" s="166">
        <v>3.4158550905536593</v>
      </c>
      <c r="K34" s="166">
        <v>0.17129999999999992</v>
      </c>
      <c r="L34" s="166">
        <v>3.5871550905536593</v>
      </c>
      <c r="M34" s="166">
        <v>3.4158550905536593</v>
      </c>
      <c r="N34" s="166">
        <v>1.0058187458141103</v>
      </c>
      <c r="O34" s="166">
        <v>4.4216738363677699</v>
      </c>
      <c r="P34" s="166">
        <v>3.7445829213330697</v>
      </c>
      <c r="Q34" s="166">
        <v>0.46818750000000003</v>
      </c>
      <c r="R34" s="166">
        <v>4.2127704213330697</v>
      </c>
      <c r="S34" s="26"/>
      <c r="T34" s="167">
        <f t="shared" si="5"/>
        <v>3.5254310341467963</v>
      </c>
    </row>
    <row r="35" spans="1:20">
      <c r="A35" s="156"/>
      <c r="B35" s="161">
        <v>2002</v>
      </c>
      <c r="C35" s="160">
        <v>73.407489456048893</v>
      </c>
      <c r="D35" s="77"/>
      <c r="E35" s="26">
        <f t="shared" si="3"/>
        <v>2019</v>
      </c>
      <c r="F35" s="26">
        <f t="shared" si="4"/>
        <v>9</v>
      </c>
      <c r="G35" s="165">
        <v>43709</v>
      </c>
      <c r="H35" s="26" t="s">
        <v>156</v>
      </c>
      <c r="I35" s="26"/>
      <c r="J35" s="166">
        <v>3.1236347631717023</v>
      </c>
      <c r="K35" s="166">
        <v>0.17129999999999992</v>
      </c>
      <c r="L35" s="166">
        <v>3.2949347631717023</v>
      </c>
      <c r="M35" s="166">
        <v>3.1236347631717023</v>
      </c>
      <c r="N35" s="166">
        <v>1.0058187458141103</v>
      </c>
      <c r="O35" s="166">
        <v>4.1294535089858124</v>
      </c>
      <c r="P35" s="166">
        <v>3.425836269913177</v>
      </c>
      <c r="Q35" s="166">
        <v>0.46818750000000003</v>
      </c>
      <c r="R35" s="166">
        <v>3.894023769913177</v>
      </c>
      <c r="S35" s="26"/>
      <c r="T35" s="167">
        <f t="shared" si="5"/>
        <v>3.2243685987521942</v>
      </c>
    </row>
    <row r="36" spans="1:20">
      <c r="A36" s="156"/>
      <c r="B36" s="161">
        <v>2003</v>
      </c>
      <c r="C36" s="160">
        <v>74.766493261439351</v>
      </c>
      <c r="D36" s="77"/>
      <c r="E36" s="26">
        <f t="shared" si="3"/>
        <v>2019</v>
      </c>
      <c r="F36" s="26">
        <f t="shared" si="4"/>
        <v>10</v>
      </c>
      <c r="G36" s="165">
        <v>43739</v>
      </c>
      <c r="H36" s="26" t="s">
        <v>157</v>
      </c>
      <c r="I36" s="26"/>
      <c r="J36" s="166">
        <v>3.1651996722455746</v>
      </c>
      <c r="K36" s="166">
        <v>0.17129999999999992</v>
      </c>
      <c r="L36" s="166">
        <v>3.3364996722455746</v>
      </c>
      <c r="M36" s="166">
        <v>3.1651996722455746</v>
      </c>
      <c r="N36" s="166">
        <v>1.0058187458141103</v>
      </c>
      <c r="O36" s="166">
        <v>4.1710184180596848</v>
      </c>
      <c r="P36" s="166">
        <v>3.473026992743586</v>
      </c>
      <c r="Q36" s="166">
        <v>0.46818750000000003</v>
      </c>
      <c r="R36" s="166">
        <v>3.9412144927435859</v>
      </c>
      <c r="S36" s="26"/>
      <c r="T36" s="167">
        <f t="shared" si="5"/>
        <v>3.2678087790782455</v>
      </c>
    </row>
    <row r="37" spans="1:20">
      <c r="A37" s="156"/>
      <c r="B37" s="161">
        <v>2004</v>
      </c>
      <c r="C37" s="160">
        <v>76.778960076219533</v>
      </c>
      <c r="D37" s="77"/>
      <c r="E37" s="26">
        <f t="shared" si="3"/>
        <v>2019</v>
      </c>
      <c r="F37" s="26">
        <f t="shared" si="4"/>
        <v>11</v>
      </c>
      <c r="G37" s="165">
        <v>43770</v>
      </c>
      <c r="H37" s="26" t="s">
        <v>158</v>
      </c>
      <c r="I37" s="26"/>
      <c r="J37" s="166">
        <v>3.1175622299811074</v>
      </c>
      <c r="K37" s="166">
        <v>0.17129999999999992</v>
      </c>
      <c r="L37" s="166">
        <v>3.2888622299811074</v>
      </c>
      <c r="M37" s="166">
        <v>3.1175622299811074</v>
      </c>
      <c r="N37" s="166">
        <v>1.0058187458141103</v>
      </c>
      <c r="O37" s="166">
        <v>4.123380975795218</v>
      </c>
      <c r="P37" s="166">
        <v>3.4223249098507051</v>
      </c>
      <c r="Q37" s="166">
        <v>0.46818750000000003</v>
      </c>
      <c r="R37" s="166">
        <v>3.8905124098507051</v>
      </c>
      <c r="S37" s="26"/>
      <c r="T37" s="167">
        <f t="shared" si="5"/>
        <v>3.21914978993764</v>
      </c>
    </row>
    <row r="38" spans="1:20">
      <c r="A38" s="156"/>
      <c r="B38" s="161">
        <v>2005</v>
      </c>
      <c r="C38" s="160">
        <v>79.171594733260747</v>
      </c>
      <c r="D38" s="77"/>
      <c r="E38" s="26">
        <f t="shared" si="3"/>
        <v>2019</v>
      </c>
      <c r="F38" s="26">
        <f t="shared" si="4"/>
        <v>12</v>
      </c>
      <c r="G38" s="165">
        <v>43800</v>
      </c>
      <c r="H38" s="26" t="s">
        <v>159</v>
      </c>
      <c r="I38" s="26"/>
      <c r="J38" s="166">
        <v>3.4583816086178545</v>
      </c>
      <c r="K38" s="166">
        <v>0.17129999999999992</v>
      </c>
      <c r="L38" s="166">
        <v>3.6296816086178545</v>
      </c>
      <c r="M38" s="166">
        <v>3.4583816086178545</v>
      </c>
      <c r="N38" s="166">
        <v>1.0058187458141103</v>
      </c>
      <c r="O38" s="166">
        <v>4.4642003544319646</v>
      </c>
      <c r="P38" s="166">
        <v>3.7981881093564218</v>
      </c>
      <c r="Q38" s="166">
        <v>0.46818750000000003</v>
      </c>
      <c r="R38" s="166">
        <v>4.2663756093564222</v>
      </c>
      <c r="S38" s="26"/>
      <c r="T38" s="167">
        <f t="shared" si="5"/>
        <v>3.5716504421973769</v>
      </c>
    </row>
    <row r="39" spans="1:20">
      <c r="A39" s="156"/>
      <c r="B39" s="161">
        <v>2006</v>
      </c>
      <c r="C39" s="160">
        <v>81.57079571991811</v>
      </c>
      <c r="D39" s="77"/>
      <c r="E39" s="26">
        <f t="shared" si="3"/>
        <v>2020</v>
      </c>
      <c r="F39" s="26">
        <f t="shared" si="4"/>
        <v>1</v>
      </c>
      <c r="G39" s="165">
        <v>43831</v>
      </c>
      <c r="H39" s="26" t="s">
        <v>160</v>
      </c>
      <c r="I39" s="26"/>
      <c r="J39" s="166">
        <v>3.7635390998251603</v>
      </c>
      <c r="K39" s="166">
        <v>0.17129999999999992</v>
      </c>
      <c r="L39" s="166">
        <v>3.9348390998251603</v>
      </c>
      <c r="M39" s="166">
        <v>3.7635390998251603</v>
      </c>
      <c r="N39" s="166">
        <v>1.0058187458141103</v>
      </c>
      <c r="O39" s="166">
        <v>4.7693578456392709</v>
      </c>
      <c r="P39" s="166">
        <v>4.1346017132155861</v>
      </c>
      <c r="Q39" s="166">
        <v>0.46818750000000003</v>
      </c>
      <c r="R39" s="166">
        <v>4.6027892132155861</v>
      </c>
      <c r="S39" s="26"/>
      <c r="T39" s="167">
        <f t="shared" si="5"/>
        <v>3.8872266376219691</v>
      </c>
    </row>
    <row r="40" spans="1:20">
      <c r="A40" s="156"/>
      <c r="B40" s="161">
        <v>2007</v>
      </c>
      <c r="C40" s="160">
        <v>83.761459134971915</v>
      </c>
      <c r="D40" s="77"/>
      <c r="E40" s="26">
        <f t="shared" si="3"/>
        <v>2020</v>
      </c>
      <c r="F40" s="26">
        <f t="shared" si="4"/>
        <v>2</v>
      </c>
      <c r="G40" s="165">
        <v>43862</v>
      </c>
      <c r="H40" s="26" t="s">
        <v>161</v>
      </c>
      <c r="I40" s="26"/>
      <c r="J40" s="166">
        <v>3.8546219956690941</v>
      </c>
      <c r="K40" s="166">
        <v>0.17129999999999992</v>
      </c>
      <c r="L40" s="166">
        <v>4.0259219956690941</v>
      </c>
      <c r="M40" s="166">
        <v>3.8546219956690941</v>
      </c>
      <c r="N40" s="166">
        <v>1.0058187458141103</v>
      </c>
      <c r="O40" s="166">
        <v>4.8604407414832043</v>
      </c>
      <c r="P40" s="166">
        <v>4.2365284504663521</v>
      </c>
      <c r="Q40" s="166">
        <v>0.46818750000000003</v>
      </c>
      <c r="R40" s="166">
        <v>4.704715950466352</v>
      </c>
      <c r="S40" s="26"/>
      <c r="T40" s="167">
        <f t="shared" si="5"/>
        <v>3.9819241472681797</v>
      </c>
    </row>
    <row r="41" spans="1:20">
      <c r="A41" s="156"/>
      <c r="B41" s="161">
        <v>2008</v>
      </c>
      <c r="C41" s="160">
        <v>85.397380910037938</v>
      </c>
      <c r="D41" s="77"/>
      <c r="E41" s="26">
        <f t="shared" si="3"/>
        <v>2020</v>
      </c>
      <c r="F41" s="26">
        <f t="shared" si="4"/>
        <v>3</v>
      </c>
      <c r="G41" s="165">
        <v>43891</v>
      </c>
      <c r="H41" s="26" t="s">
        <v>162</v>
      </c>
      <c r="I41" s="26"/>
      <c r="J41" s="166">
        <v>3.4547950348162404</v>
      </c>
      <c r="K41" s="166">
        <v>0.17129999999999992</v>
      </c>
      <c r="L41" s="166">
        <v>3.6260950348162404</v>
      </c>
      <c r="M41" s="166">
        <v>3.4547950348162404</v>
      </c>
      <c r="N41" s="166">
        <v>1.0058187458141103</v>
      </c>
      <c r="O41" s="166">
        <v>4.460613780630351</v>
      </c>
      <c r="P41" s="166">
        <v>3.7987455307009852</v>
      </c>
      <c r="Q41" s="166">
        <v>0.46818750000000003</v>
      </c>
      <c r="R41" s="166">
        <v>4.2669330307009856</v>
      </c>
      <c r="S41" s="26"/>
      <c r="T41" s="167">
        <f t="shared" si="5"/>
        <v>3.5694452001111556</v>
      </c>
    </row>
    <row r="42" spans="1:20">
      <c r="A42" s="156"/>
      <c r="B42" s="161">
        <v>2009</v>
      </c>
      <c r="C42" s="160">
        <v>86.044051164652274</v>
      </c>
      <c r="D42" s="77"/>
      <c r="E42" s="26">
        <f t="shared" si="3"/>
        <v>2020</v>
      </c>
      <c r="F42" s="26">
        <f t="shared" si="4"/>
        <v>4</v>
      </c>
      <c r="G42" s="165">
        <v>43922</v>
      </c>
      <c r="H42" s="26" t="s">
        <v>163</v>
      </c>
      <c r="I42" s="26"/>
      <c r="J42" s="166">
        <v>3.4618607257099261</v>
      </c>
      <c r="K42" s="166">
        <v>0.17129999999999992</v>
      </c>
      <c r="L42" s="166">
        <v>3.6331607257099261</v>
      </c>
      <c r="M42" s="166">
        <v>3.4618607257099261</v>
      </c>
      <c r="N42" s="166">
        <v>1.0058187458141103</v>
      </c>
      <c r="O42" s="166">
        <v>4.4676794715240362</v>
      </c>
      <c r="P42" s="166">
        <v>3.808163687371608</v>
      </c>
      <c r="Q42" s="166">
        <v>0.46818750000000003</v>
      </c>
      <c r="R42" s="166">
        <v>4.276351187371608</v>
      </c>
      <c r="S42" s="26"/>
      <c r="T42" s="167">
        <f t="shared" si="5"/>
        <v>3.5772950462638202</v>
      </c>
    </row>
    <row r="43" spans="1:20">
      <c r="A43" s="156"/>
      <c r="B43" s="161">
        <v>2010</v>
      </c>
      <c r="C43" s="160">
        <v>87.043944667585365</v>
      </c>
      <c r="D43" s="77"/>
      <c r="E43" s="26">
        <f t="shared" si="3"/>
        <v>2020</v>
      </c>
      <c r="F43" s="26">
        <f t="shared" si="4"/>
        <v>5</v>
      </c>
      <c r="G43" s="165">
        <v>43952</v>
      </c>
      <c r="H43" s="26" t="s">
        <v>164</v>
      </c>
      <c r="I43" s="26"/>
      <c r="J43" s="166">
        <v>3.6545788593958135</v>
      </c>
      <c r="K43" s="166">
        <v>0.17129999999999992</v>
      </c>
      <c r="L43" s="166">
        <v>3.8258788593958135</v>
      </c>
      <c r="M43" s="166">
        <v>3.6545788593958135</v>
      </c>
      <c r="N43" s="166">
        <v>1.0058187458141103</v>
      </c>
      <c r="O43" s="166">
        <v>4.6603976052099236</v>
      </c>
      <c r="P43" s="166">
        <v>4.0218881456717055</v>
      </c>
      <c r="Q43" s="166">
        <v>0.46818750000000003</v>
      </c>
      <c r="R43" s="166">
        <v>4.4900756456717055</v>
      </c>
      <c r="S43" s="26"/>
      <c r="T43" s="167">
        <f t="shared" si="5"/>
        <v>3.7770152881544443</v>
      </c>
    </row>
    <row r="44" spans="1:20">
      <c r="A44" s="156"/>
      <c r="B44" s="161">
        <v>2011</v>
      </c>
      <c r="C44" s="160">
        <v>88.863044396426929</v>
      </c>
      <c r="D44" s="77"/>
      <c r="E44" s="26">
        <f t="shared" si="3"/>
        <v>2020</v>
      </c>
      <c r="F44" s="26">
        <f t="shared" si="4"/>
        <v>6</v>
      </c>
      <c r="G44" s="165">
        <v>43983</v>
      </c>
      <c r="H44" s="26" t="s">
        <v>165</v>
      </c>
      <c r="I44" s="26"/>
      <c r="J44" s="166">
        <v>3.4852168106719068</v>
      </c>
      <c r="K44" s="166">
        <v>0.17129999999999992</v>
      </c>
      <c r="L44" s="166">
        <v>3.6565168106719068</v>
      </c>
      <c r="M44" s="166">
        <v>3.4852168106719068</v>
      </c>
      <c r="N44" s="166">
        <v>1.0058187458141103</v>
      </c>
      <c r="O44" s="166">
        <v>4.4910355564860174</v>
      </c>
      <c r="P44" s="166">
        <v>3.8441997571161766</v>
      </c>
      <c r="Q44" s="166">
        <v>0.46818750000000003</v>
      </c>
      <c r="R44" s="166">
        <v>4.3123872571161765</v>
      </c>
      <c r="S44" s="26"/>
      <c r="T44" s="167">
        <f t="shared" si="5"/>
        <v>3.6048777928199969</v>
      </c>
    </row>
    <row r="45" spans="1:20">
      <c r="A45" s="156"/>
      <c r="B45" s="161">
        <v>2012</v>
      </c>
      <c r="C45" s="160">
        <v>90.568931545679163</v>
      </c>
      <c r="D45" s="77"/>
      <c r="E45" s="26">
        <f t="shared" si="3"/>
        <v>2020</v>
      </c>
      <c r="F45" s="26">
        <f t="shared" si="4"/>
        <v>7</v>
      </c>
      <c r="G45" s="165">
        <v>44013</v>
      </c>
      <c r="H45" s="26" t="s">
        <v>166</v>
      </c>
      <c r="I45" s="26"/>
      <c r="J45" s="166">
        <v>3.5212981718724952</v>
      </c>
      <c r="K45" s="166">
        <v>0.17129999999999992</v>
      </c>
      <c r="L45" s="166">
        <v>3.6925981718724952</v>
      </c>
      <c r="M45" s="166">
        <v>3.5212981718724952</v>
      </c>
      <c r="N45" s="166">
        <v>1.0058187458141103</v>
      </c>
      <c r="O45" s="166">
        <v>4.5271169176866053</v>
      </c>
      <c r="P45" s="166">
        <v>3.8868578639700653</v>
      </c>
      <c r="Q45" s="166">
        <v>0.46818750000000003</v>
      </c>
      <c r="R45" s="166">
        <v>4.3550453639700653</v>
      </c>
      <c r="S45" s="26"/>
      <c r="T45" s="167">
        <f t="shared" si="5"/>
        <v>3.6431514025716853</v>
      </c>
    </row>
    <row r="46" spans="1:20">
      <c r="A46" s="156"/>
      <c r="B46" s="161">
        <v>2013</v>
      </c>
      <c r="C46" s="160">
        <v>92.156171911521753</v>
      </c>
      <c r="D46" s="77"/>
      <c r="E46" s="26">
        <f t="shared" si="3"/>
        <v>2020</v>
      </c>
      <c r="F46" s="26">
        <f t="shared" si="4"/>
        <v>8</v>
      </c>
      <c r="G46" s="165">
        <v>44044</v>
      </c>
      <c r="H46" s="26" t="s">
        <v>167</v>
      </c>
      <c r="I46" s="26"/>
      <c r="J46" s="166">
        <v>3.5495901553128104</v>
      </c>
      <c r="K46" s="166">
        <v>0.17129999999999992</v>
      </c>
      <c r="L46" s="166">
        <v>3.7208901553128104</v>
      </c>
      <c r="M46" s="166">
        <v>3.5495901553128104</v>
      </c>
      <c r="N46" s="166">
        <v>1.0058187458141103</v>
      </c>
      <c r="O46" s="166">
        <v>4.5554089011269205</v>
      </c>
      <c r="P46" s="166">
        <v>3.9209667179636809</v>
      </c>
      <c r="Q46" s="166">
        <v>0.46818750000000003</v>
      </c>
      <c r="R46" s="166">
        <v>4.3891542179636813</v>
      </c>
      <c r="S46" s="26"/>
      <c r="T46" s="167">
        <f t="shared" si="5"/>
        <v>3.6733823428631003</v>
      </c>
    </row>
    <row r="47" spans="1:20">
      <c r="A47" s="156"/>
      <c r="B47" s="161">
        <v>2014</v>
      </c>
      <c r="C47" s="160">
        <v>93.897607810765038</v>
      </c>
      <c r="D47" s="77"/>
      <c r="E47" s="26">
        <f t="shared" si="3"/>
        <v>2020</v>
      </c>
      <c r="F47" s="26">
        <f t="shared" si="4"/>
        <v>9</v>
      </c>
      <c r="G47" s="165">
        <v>44075</v>
      </c>
      <c r="H47" s="26" t="s">
        <v>168</v>
      </c>
      <c r="I47" s="26"/>
      <c r="J47" s="166">
        <v>3.235360664043299</v>
      </c>
      <c r="K47" s="166">
        <v>0.17129999999999992</v>
      </c>
      <c r="L47" s="166">
        <v>3.406660664043299</v>
      </c>
      <c r="M47" s="166">
        <v>3.235360664043299</v>
      </c>
      <c r="N47" s="166">
        <v>1.0058187458141103</v>
      </c>
      <c r="O47" s="166">
        <v>4.2411794098574092</v>
      </c>
      <c r="P47" s="166">
        <v>3.5764825393642923</v>
      </c>
      <c r="Q47" s="166">
        <v>0.46818750000000003</v>
      </c>
      <c r="R47" s="166">
        <v>4.0446700393642923</v>
      </c>
      <c r="S47" s="26"/>
      <c r="T47" s="167">
        <f t="shared" si="5"/>
        <v>3.3490679558169631</v>
      </c>
    </row>
    <row r="48" spans="1:20">
      <c r="A48" s="156"/>
      <c r="B48" s="161">
        <v>2015</v>
      </c>
      <c r="C48" s="160">
        <v>94.905652619428551</v>
      </c>
      <c r="D48" s="77"/>
      <c r="E48" s="26">
        <f t="shared" si="3"/>
        <v>2020</v>
      </c>
      <c r="F48" s="26">
        <f t="shared" si="4"/>
        <v>10</v>
      </c>
      <c r="G48" s="165">
        <v>44105</v>
      </c>
      <c r="H48" s="26" t="s">
        <v>169</v>
      </c>
      <c r="I48" s="26"/>
      <c r="J48" s="166">
        <v>3.267785703382819</v>
      </c>
      <c r="K48" s="166">
        <v>0.17129999999999992</v>
      </c>
      <c r="L48" s="166">
        <v>3.439085703382819</v>
      </c>
      <c r="M48" s="166">
        <v>3.267785703382819</v>
      </c>
      <c r="N48" s="166">
        <v>1.0058187458141103</v>
      </c>
      <c r="O48" s="166">
        <v>4.2736044491969292</v>
      </c>
      <c r="P48" s="166">
        <v>3.6149710098596151</v>
      </c>
      <c r="Q48" s="166">
        <v>0.46818750000000003</v>
      </c>
      <c r="R48" s="166">
        <v>4.083158509859615</v>
      </c>
      <c r="S48" s="26"/>
      <c r="T48" s="167">
        <f t="shared" si="5"/>
        <v>3.3835141388750842</v>
      </c>
    </row>
    <row r="49" spans="1:20">
      <c r="A49" s="156"/>
      <c r="B49" s="161">
        <v>2016</v>
      </c>
      <c r="C49" s="160">
        <v>95.942000572989414</v>
      </c>
      <c r="D49" s="77"/>
      <c r="E49" s="26">
        <f t="shared" si="3"/>
        <v>2020</v>
      </c>
      <c r="F49" s="26">
        <f t="shared" si="4"/>
        <v>11</v>
      </c>
      <c r="G49" s="165">
        <v>44136</v>
      </c>
      <c r="H49" s="26" t="s">
        <v>170</v>
      </c>
      <c r="I49" s="26"/>
      <c r="J49" s="166">
        <v>3.2082179380858435</v>
      </c>
      <c r="K49" s="166">
        <v>0.17129999999999992</v>
      </c>
      <c r="L49" s="166">
        <v>3.3795179380858436</v>
      </c>
      <c r="M49" s="166">
        <v>3.2082179380858435</v>
      </c>
      <c r="N49" s="166">
        <v>1.0058187458141103</v>
      </c>
      <c r="O49" s="166">
        <v>4.2140366838999537</v>
      </c>
      <c r="P49" s="166">
        <v>3.5516677863051025</v>
      </c>
      <c r="Q49" s="166">
        <v>0.46818750000000003</v>
      </c>
      <c r="R49" s="166">
        <v>4.0198552863051029</v>
      </c>
      <c r="S49" s="26"/>
      <c r="T49" s="167">
        <f t="shared" si="5"/>
        <v>3.3227012208255964</v>
      </c>
    </row>
    <row r="50" spans="1:20">
      <c r="A50" s="156"/>
      <c r="B50" s="161">
        <v>2017</v>
      </c>
      <c r="C50" s="160">
        <v>97.764949529537034</v>
      </c>
      <c r="D50" s="77"/>
      <c r="E50" s="26">
        <f t="shared" si="3"/>
        <v>2020</v>
      </c>
      <c r="F50" s="26">
        <f t="shared" si="4"/>
        <v>12</v>
      </c>
      <c r="G50" s="165">
        <v>44166</v>
      </c>
      <c r="H50" s="26" t="s">
        <v>171</v>
      </c>
      <c r="I50" s="26"/>
      <c r="J50" s="166">
        <v>3.5475142045187722</v>
      </c>
      <c r="K50" s="166">
        <v>0.17129999999999992</v>
      </c>
      <c r="L50" s="166">
        <v>3.7188142045187722</v>
      </c>
      <c r="M50" s="166">
        <v>3.5475142045187722</v>
      </c>
      <c r="N50" s="166">
        <v>1.0058187458141103</v>
      </c>
      <c r="O50" s="166">
        <v>4.5533329503328828</v>
      </c>
      <c r="P50" s="166">
        <v>3.9301508693651526</v>
      </c>
      <c r="Q50" s="166">
        <v>0.46818750000000003</v>
      </c>
      <c r="R50" s="166">
        <v>4.3983383693651525</v>
      </c>
      <c r="S50" s="26"/>
      <c r="T50" s="167">
        <f t="shared" si="5"/>
        <v>3.6750597594675654</v>
      </c>
    </row>
    <row r="51" spans="1:20">
      <c r="A51" s="156"/>
      <c r="B51" s="161">
        <v>2018</v>
      </c>
      <c r="C51" s="160">
        <v>100</v>
      </c>
      <c r="D51" s="77"/>
      <c r="E51" s="26">
        <f t="shared" si="3"/>
        <v>2021</v>
      </c>
      <c r="F51" s="26">
        <f t="shared" si="4"/>
        <v>1</v>
      </c>
      <c r="G51" s="165">
        <v>44197</v>
      </c>
      <c r="H51" s="26" t="s">
        <v>172</v>
      </c>
      <c r="I51" s="26"/>
      <c r="J51" s="166">
        <v>3.8541248056588571</v>
      </c>
      <c r="K51" s="166">
        <v>0.17129999999999992</v>
      </c>
      <c r="L51" s="166">
        <v>4.0254248056588571</v>
      </c>
      <c r="M51" s="166">
        <v>3.8541248056588571</v>
      </c>
      <c r="N51" s="166">
        <v>1.0058187458141103</v>
      </c>
      <c r="O51" s="166">
        <v>4.8599435514729672</v>
      </c>
      <c r="P51" s="166">
        <v>4.272657365725526</v>
      </c>
      <c r="Q51" s="166">
        <v>0.46818750000000003</v>
      </c>
      <c r="R51" s="166">
        <v>4.740844865725526</v>
      </c>
      <c r="S51" s="26"/>
      <c r="T51" s="167">
        <f t="shared" si="5"/>
        <v>3.9936356590144135</v>
      </c>
    </row>
    <row r="52" spans="1:20">
      <c r="A52" s="156"/>
      <c r="B52" s="161">
        <v>2019</v>
      </c>
      <c r="C52" s="160">
        <v>102.38189925605992</v>
      </c>
      <c r="D52" s="77"/>
      <c r="E52" s="26">
        <f t="shared" si="3"/>
        <v>2021</v>
      </c>
      <c r="F52" s="26">
        <f t="shared" si="4"/>
        <v>2</v>
      </c>
      <c r="G52" s="165">
        <v>44228</v>
      </c>
      <c r="H52" s="26" t="s">
        <v>173</v>
      </c>
      <c r="I52" s="26"/>
      <c r="J52" s="166">
        <v>3.9350500225750968</v>
      </c>
      <c r="K52" s="166">
        <v>0.17129999999999992</v>
      </c>
      <c r="L52" s="166">
        <v>4.1063500225750964</v>
      </c>
      <c r="M52" s="166">
        <v>3.9350500225750968</v>
      </c>
      <c r="N52" s="166">
        <v>1.0058187458141103</v>
      </c>
      <c r="O52" s="166">
        <v>4.9408687683892074</v>
      </c>
      <c r="P52" s="166">
        <v>4.3654784972358769</v>
      </c>
      <c r="Q52" s="166">
        <v>0.46818750000000003</v>
      </c>
      <c r="R52" s="166">
        <v>4.8336659972358769</v>
      </c>
      <c r="S52" s="26"/>
      <c r="T52" s="167">
        <f t="shared" si="5"/>
        <v>4.0785261807953566</v>
      </c>
    </row>
    <row r="53" spans="1:20">
      <c r="A53" s="156"/>
      <c r="B53" s="161">
        <v>2020</v>
      </c>
      <c r="C53" s="160">
        <v>104.37265739456689</v>
      </c>
      <c r="D53" s="77"/>
      <c r="E53" s="26">
        <f t="shared" si="3"/>
        <v>2021</v>
      </c>
      <c r="F53" s="26">
        <f t="shared" si="4"/>
        <v>3</v>
      </c>
      <c r="G53" s="165">
        <v>44256</v>
      </c>
      <c r="H53" s="26" t="s">
        <v>174</v>
      </c>
      <c r="I53" s="26"/>
      <c r="J53" s="166">
        <v>3.5158936898199613</v>
      </c>
      <c r="K53" s="166">
        <v>0.17129999999999992</v>
      </c>
      <c r="L53" s="166">
        <v>3.6871936898199613</v>
      </c>
      <c r="M53" s="166">
        <v>3.5158936898199613</v>
      </c>
      <c r="N53" s="166">
        <v>1.0058187458141103</v>
      </c>
      <c r="O53" s="166">
        <v>4.5217124356340719</v>
      </c>
      <c r="P53" s="166">
        <v>3.9032470946604079</v>
      </c>
      <c r="Q53" s="166">
        <v>0.46818750000000003</v>
      </c>
      <c r="R53" s="166">
        <v>4.3714345946604078</v>
      </c>
      <c r="S53" s="26"/>
      <c r="T53" s="167">
        <f t="shared" si="5"/>
        <v>3.6450114914334435</v>
      </c>
    </row>
    <row r="54" spans="1:20">
      <c r="A54" s="156"/>
      <c r="B54" s="161">
        <v>2021</v>
      </c>
      <c r="C54" s="160">
        <v>106.44310726681304</v>
      </c>
      <c r="D54" s="77"/>
      <c r="E54" s="26">
        <f t="shared" si="3"/>
        <v>2021</v>
      </c>
      <c r="F54" s="26">
        <f t="shared" si="4"/>
        <v>4</v>
      </c>
      <c r="G54" s="165">
        <v>44287</v>
      </c>
      <c r="H54" s="26" t="s">
        <v>175</v>
      </c>
      <c r="I54" s="26"/>
      <c r="J54" s="166">
        <v>3.5121563949304231</v>
      </c>
      <c r="K54" s="166">
        <v>0.17129999999999992</v>
      </c>
      <c r="L54" s="166">
        <v>3.6834563949304231</v>
      </c>
      <c r="M54" s="166">
        <v>3.5121563949304231</v>
      </c>
      <c r="N54" s="166">
        <v>1.0058187458141103</v>
      </c>
      <c r="O54" s="166">
        <v>4.5179751407445332</v>
      </c>
      <c r="P54" s="166">
        <v>3.901865408807327</v>
      </c>
      <c r="Q54" s="166">
        <v>0.46818750000000003</v>
      </c>
      <c r="R54" s="166">
        <v>4.3700529088073274</v>
      </c>
      <c r="S54" s="26"/>
      <c r="T54" s="167">
        <f t="shared" si="5"/>
        <v>3.6420593995560577</v>
      </c>
    </row>
    <row r="55" spans="1:20">
      <c r="A55" s="156"/>
      <c r="B55" s="161">
        <v>2022</v>
      </c>
      <c r="C55" s="160">
        <v>108.58328319880168</v>
      </c>
      <c r="D55" s="77"/>
      <c r="E55" s="26">
        <f t="shared" si="3"/>
        <v>2021</v>
      </c>
      <c r="F55" s="26">
        <f t="shared" si="4"/>
        <v>5</v>
      </c>
      <c r="G55" s="165">
        <v>44317</v>
      </c>
      <c r="H55" s="26" t="s">
        <v>176</v>
      </c>
      <c r="I55" s="26"/>
      <c r="J55" s="166">
        <v>3.6962230953699806</v>
      </c>
      <c r="K55" s="166">
        <v>0.17129999999999992</v>
      </c>
      <c r="L55" s="166">
        <v>3.8675230953699806</v>
      </c>
      <c r="M55" s="166">
        <v>3.6962230953699806</v>
      </c>
      <c r="N55" s="166">
        <v>1.0058187458141103</v>
      </c>
      <c r="O55" s="166">
        <v>4.7020418411840907</v>
      </c>
      <c r="P55" s="166">
        <v>4.1092650783541602</v>
      </c>
      <c r="Q55" s="166">
        <v>0.46818750000000003</v>
      </c>
      <c r="R55" s="166">
        <v>4.5774525783541602</v>
      </c>
      <c r="S55" s="26"/>
      <c r="T55" s="167">
        <f t="shared" si="5"/>
        <v>3.8339037563647071</v>
      </c>
    </row>
    <row r="56" spans="1:20">
      <c r="A56" s="156"/>
      <c r="B56" s="161">
        <v>2023</v>
      </c>
      <c r="C56" s="160">
        <v>110.67923194317183</v>
      </c>
      <c r="D56" s="77"/>
      <c r="E56" s="26">
        <f t="shared" si="3"/>
        <v>2021</v>
      </c>
      <c r="F56" s="26">
        <f t="shared" si="4"/>
        <v>6</v>
      </c>
      <c r="G56" s="165">
        <v>44348</v>
      </c>
      <c r="H56" s="26" t="s">
        <v>177</v>
      </c>
      <c r="I56" s="26"/>
      <c r="J56" s="166">
        <v>3.568363655403668</v>
      </c>
      <c r="K56" s="166">
        <v>0.17129999999999992</v>
      </c>
      <c r="L56" s="166">
        <v>3.739663655403668</v>
      </c>
      <c r="M56" s="166">
        <v>3.568363655403668</v>
      </c>
      <c r="N56" s="166">
        <v>1.0058187458141103</v>
      </c>
      <c r="O56" s="166">
        <v>4.5741824012177785</v>
      </c>
      <c r="P56" s="166">
        <v>3.9539340370319236</v>
      </c>
      <c r="Q56" s="166">
        <v>0.46818750000000003</v>
      </c>
      <c r="R56" s="166">
        <v>4.4221215370319236</v>
      </c>
      <c r="S56" s="26"/>
      <c r="T56" s="167">
        <f t="shared" si="5"/>
        <v>3.6968871159464194</v>
      </c>
    </row>
    <row r="57" spans="1:20">
      <c r="A57" s="156"/>
      <c r="B57" s="161">
        <v>2024</v>
      </c>
      <c r="C57" s="160">
        <v>112.82822181882932</v>
      </c>
      <c r="D57" s="77"/>
      <c r="E57" s="26">
        <f t="shared" si="3"/>
        <v>2021</v>
      </c>
      <c r="F57" s="26">
        <f t="shared" si="4"/>
        <v>7</v>
      </c>
      <c r="G57" s="165">
        <v>44378</v>
      </c>
      <c r="H57" s="26" t="s">
        <v>178</v>
      </c>
      <c r="I57" s="26"/>
      <c r="J57" s="166">
        <v>3.6032954121898841</v>
      </c>
      <c r="K57" s="166">
        <v>0.17129999999999992</v>
      </c>
      <c r="L57" s="166">
        <v>3.7745954121898841</v>
      </c>
      <c r="M57" s="166">
        <v>3.6032954121898841</v>
      </c>
      <c r="N57" s="166">
        <v>1.0058187458141103</v>
      </c>
      <c r="O57" s="166">
        <v>4.6091141580039947</v>
      </c>
      <c r="P57" s="166">
        <v>3.9927902068426029</v>
      </c>
      <c r="Q57" s="166">
        <v>0.46818750000000003</v>
      </c>
      <c r="R57" s="166">
        <v>4.4609777068426029</v>
      </c>
      <c r="S57" s="26"/>
      <c r="T57" s="167">
        <f t="shared" si="5"/>
        <v>3.7331270104074572</v>
      </c>
    </row>
    <row r="58" spans="1:20">
      <c r="A58" s="156"/>
      <c r="B58" s="161">
        <v>2025</v>
      </c>
      <c r="C58" s="160">
        <v>114.9845316336194</v>
      </c>
      <c r="D58" s="77"/>
      <c r="E58" s="26">
        <f t="shared" si="3"/>
        <v>2021</v>
      </c>
      <c r="F58" s="26">
        <f t="shared" si="4"/>
        <v>8</v>
      </c>
      <c r="G58" s="165">
        <v>44409</v>
      </c>
      <c r="H58" s="26" t="s">
        <v>179</v>
      </c>
      <c r="I58" s="26"/>
      <c r="J58" s="166">
        <v>3.630222128199041</v>
      </c>
      <c r="K58" s="166">
        <v>0.17129999999999992</v>
      </c>
      <c r="L58" s="166">
        <v>3.801522128199041</v>
      </c>
      <c r="M58" s="166">
        <v>3.630222128199041</v>
      </c>
      <c r="N58" s="166">
        <v>1.0058187458141103</v>
      </c>
      <c r="O58" s="166">
        <v>4.6360408740131511</v>
      </c>
      <c r="P58" s="166">
        <v>4.0227785968222856</v>
      </c>
      <c r="Q58" s="166">
        <v>0.46818750000000003</v>
      </c>
      <c r="R58" s="166">
        <v>4.4909660968222855</v>
      </c>
      <c r="S58" s="26"/>
      <c r="T58" s="167">
        <f t="shared" si="5"/>
        <v>3.761074284406789</v>
      </c>
    </row>
    <row r="59" spans="1:20">
      <c r="A59" s="156"/>
      <c r="B59" s="161">
        <v>2026</v>
      </c>
      <c r="C59" s="160">
        <v>117.16447599875951</v>
      </c>
      <c r="D59" s="77"/>
      <c r="E59" s="26">
        <f t="shared" si="3"/>
        <v>2021</v>
      </c>
      <c r="F59" s="26">
        <f t="shared" si="4"/>
        <v>9</v>
      </c>
      <c r="G59" s="165">
        <v>44440</v>
      </c>
      <c r="H59" s="26" t="s">
        <v>180</v>
      </c>
      <c r="I59" s="26"/>
      <c r="J59" s="166">
        <v>3.3070120015974993</v>
      </c>
      <c r="K59" s="166">
        <v>0.17129999999999992</v>
      </c>
      <c r="L59" s="166">
        <v>3.4783120015974993</v>
      </c>
      <c r="M59" s="166">
        <v>3.3070120015974993</v>
      </c>
      <c r="N59" s="166">
        <v>1.0058187458141103</v>
      </c>
      <c r="O59" s="166">
        <v>4.3128307474116099</v>
      </c>
      <c r="P59" s="166">
        <v>3.6647555221872778</v>
      </c>
      <c r="Q59" s="166">
        <v>0.46818750000000003</v>
      </c>
      <c r="R59" s="166">
        <v>4.1329430221872778</v>
      </c>
      <c r="S59" s="26"/>
      <c r="T59" s="167">
        <f t="shared" si="5"/>
        <v>3.4262598417940922</v>
      </c>
    </row>
    <row r="60" spans="1:20">
      <c r="A60" s="156"/>
      <c r="B60" s="161">
        <v>2027</v>
      </c>
      <c r="C60" s="160">
        <v>119.4033077799138</v>
      </c>
      <c r="D60" s="77"/>
      <c r="E60" s="26">
        <f t="shared" si="3"/>
        <v>2021</v>
      </c>
      <c r="F60" s="26">
        <f t="shared" si="4"/>
        <v>10</v>
      </c>
      <c r="G60" s="165">
        <v>44470</v>
      </c>
      <c r="H60" s="26" t="s">
        <v>181</v>
      </c>
      <c r="I60" s="26"/>
      <c r="J60" s="166">
        <v>3.3382962939270628</v>
      </c>
      <c r="K60" s="166">
        <v>0.17129999999999992</v>
      </c>
      <c r="L60" s="166">
        <v>3.5095962939270628</v>
      </c>
      <c r="M60" s="166">
        <v>3.3382962939270628</v>
      </c>
      <c r="N60" s="166">
        <v>1.0058187458141103</v>
      </c>
      <c r="O60" s="166">
        <v>4.3441150397411734</v>
      </c>
      <c r="P60" s="166">
        <v>3.6995629432354087</v>
      </c>
      <c r="Q60" s="166">
        <v>0.46818750000000003</v>
      </c>
      <c r="R60" s="166">
        <v>4.1677504432354091</v>
      </c>
      <c r="S60" s="26"/>
      <c r="T60" s="167">
        <f t="shared" si="5"/>
        <v>3.4587185103631781</v>
      </c>
    </row>
    <row r="61" spans="1:20">
      <c r="A61" s="156"/>
      <c r="B61" s="161">
        <v>2028</v>
      </c>
      <c r="C61" s="160">
        <v>121.68259722155703</v>
      </c>
      <c r="D61" s="77"/>
      <c r="E61" s="26">
        <f t="shared" si="3"/>
        <v>2021</v>
      </c>
      <c r="F61" s="26">
        <f t="shared" si="4"/>
        <v>11</v>
      </c>
      <c r="G61" s="165">
        <v>44501</v>
      </c>
      <c r="H61" s="26" t="s">
        <v>182</v>
      </c>
      <c r="I61" s="26"/>
      <c r="J61" s="166">
        <v>3.2756204715899471</v>
      </c>
      <c r="K61" s="166">
        <v>0.17129999999999992</v>
      </c>
      <c r="L61" s="166">
        <v>3.4469204715899471</v>
      </c>
      <c r="M61" s="166">
        <v>3.2756204715899471</v>
      </c>
      <c r="N61" s="166">
        <v>1.0058187458141103</v>
      </c>
      <c r="O61" s="166">
        <v>4.2814392174040572</v>
      </c>
      <c r="P61" s="166">
        <v>3.6302406718770288</v>
      </c>
      <c r="Q61" s="166">
        <v>0.46818750000000003</v>
      </c>
      <c r="R61" s="166">
        <v>4.0984281718770292</v>
      </c>
      <c r="S61" s="26"/>
      <c r="T61" s="167">
        <f t="shared" si="5"/>
        <v>3.3938272050189742</v>
      </c>
    </row>
    <row r="62" spans="1:20">
      <c r="A62" s="156"/>
      <c r="B62" s="161">
        <v>2029</v>
      </c>
      <c r="C62" s="160">
        <v>124.02953216221275</v>
      </c>
      <c r="D62" s="77"/>
      <c r="E62" s="26">
        <f t="shared" si="3"/>
        <v>2021</v>
      </c>
      <c r="F62" s="26">
        <f t="shared" si="4"/>
        <v>12</v>
      </c>
      <c r="G62" s="165">
        <v>44531</v>
      </c>
      <c r="H62" s="26" t="s">
        <v>183</v>
      </c>
      <c r="I62" s="26"/>
      <c r="J62" s="166">
        <v>3.6200320775281964</v>
      </c>
      <c r="K62" s="166">
        <v>0.17129999999999992</v>
      </c>
      <c r="L62" s="166">
        <v>3.7913320775281965</v>
      </c>
      <c r="M62" s="166">
        <v>3.6200320775281964</v>
      </c>
      <c r="N62" s="166">
        <v>1.0058187458141103</v>
      </c>
      <c r="O62" s="166">
        <v>4.625850823342307</v>
      </c>
      <c r="P62" s="166">
        <v>4.0120890072115536</v>
      </c>
      <c r="Q62" s="166">
        <v>0.46818750000000003</v>
      </c>
      <c r="R62" s="166">
        <v>4.4802765072115536</v>
      </c>
      <c r="S62" s="26"/>
      <c r="T62" s="167">
        <f t="shared" si="5"/>
        <v>3.7507177207559823</v>
      </c>
    </row>
    <row r="63" spans="1:20">
      <c r="A63" s="156"/>
      <c r="B63" s="161">
        <v>2030</v>
      </c>
      <c r="C63" s="160">
        <v>126.39826207002994</v>
      </c>
      <c r="D63" s="77"/>
      <c r="E63" s="26">
        <f t="shared" si="3"/>
        <v>2022</v>
      </c>
      <c r="F63" s="26">
        <f t="shared" si="4"/>
        <v>1</v>
      </c>
      <c r="G63" s="165">
        <v>44562</v>
      </c>
      <c r="H63" s="26" t="s">
        <v>184</v>
      </c>
      <c r="I63" s="26"/>
      <c r="J63" s="166">
        <v>3.9320118855717405</v>
      </c>
      <c r="K63" s="166">
        <v>0.17129999999999992</v>
      </c>
      <c r="L63" s="166">
        <v>4.1033118855717401</v>
      </c>
      <c r="M63" s="166">
        <v>3.9320118855717405</v>
      </c>
      <c r="N63" s="166">
        <v>1.0058187458141103</v>
      </c>
      <c r="O63" s="166">
        <v>4.9378306313858511</v>
      </c>
      <c r="P63" s="166">
        <v>4.3580441435438386</v>
      </c>
      <c r="Q63" s="166">
        <v>0.46818750000000003</v>
      </c>
      <c r="R63" s="166">
        <v>4.8262316435438386</v>
      </c>
      <c r="S63" s="26"/>
      <c r="T63" s="167">
        <f t="shared" si="5"/>
        <v>4.0740226382291063</v>
      </c>
    </row>
    <row r="64" spans="1:20">
      <c r="A64" s="156"/>
      <c r="B64" s="161">
        <v>2031</v>
      </c>
      <c r="C64" s="160">
        <v>128.76704757589178</v>
      </c>
      <c r="D64" s="77"/>
      <c r="E64" s="26">
        <f t="shared" si="3"/>
        <v>2022</v>
      </c>
      <c r="F64" s="26">
        <f t="shared" si="4"/>
        <v>2</v>
      </c>
      <c r="G64" s="165">
        <v>44593</v>
      </c>
      <c r="H64" s="26" t="s">
        <v>185</v>
      </c>
      <c r="I64" s="26"/>
      <c r="J64" s="166">
        <v>4.0123873694752019</v>
      </c>
      <c r="K64" s="166">
        <v>0.17129999999999992</v>
      </c>
      <c r="L64" s="166">
        <v>4.1836873694752015</v>
      </c>
      <c r="M64" s="166">
        <v>4.0123873694752019</v>
      </c>
      <c r="N64" s="166">
        <v>1.0058187458141103</v>
      </c>
      <c r="O64" s="166">
        <v>5.0182061152893125</v>
      </c>
      <c r="P64" s="166">
        <v>4.4472918471321989</v>
      </c>
      <c r="Q64" s="166">
        <v>0.46818750000000003</v>
      </c>
      <c r="R64" s="166">
        <v>4.9154793471321989</v>
      </c>
      <c r="S64" s="26"/>
      <c r="T64" s="167">
        <f t="shared" si="5"/>
        <v>4.1573555286942012</v>
      </c>
    </row>
    <row r="65" spans="1:20">
      <c r="A65" s="156"/>
      <c r="B65" s="161">
        <v>2032</v>
      </c>
      <c r="C65" s="160">
        <v>131.1328029199048</v>
      </c>
      <c r="D65" s="77"/>
      <c r="E65" s="26">
        <f t="shared" si="3"/>
        <v>2022</v>
      </c>
      <c r="F65" s="26">
        <f t="shared" si="4"/>
        <v>3</v>
      </c>
      <c r="G65" s="165">
        <v>44621</v>
      </c>
      <c r="H65" s="26" t="s">
        <v>186</v>
      </c>
      <c r="I65" s="26"/>
      <c r="J65" s="166">
        <v>3.5830431175049045</v>
      </c>
      <c r="K65" s="166">
        <v>0.17129999999999992</v>
      </c>
      <c r="L65" s="166">
        <v>3.7543431175049045</v>
      </c>
      <c r="M65" s="166">
        <v>3.5830431175049045</v>
      </c>
      <c r="N65" s="166">
        <v>1.0058187458141103</v>
      </c>
      <c r="O65" s="166">
        <v>4.588861863319015</v>
      </c>
      <c r="P65" s="166">
        <v>3.9715568220923356</v>
      </c>
      <c r="Q65" s="166">
        <v>0.46818750000000003</v>
      </c>
      <c r="R65" s="166">
        <v>4.439744322092336</v>
      </c>
      <c r="S65" s="26"/>
      <c r="T65" s="167">
        <f t="shared" si="5"/>
        <v>3.7125476857007147</v>
      </c>
    </row>
    <row r="66" spans="1:20">
      <c r="A66" s="156"/>
      <c r="B66" s="161">
        <v>2033</v>
      </c>
      <c r="C66" s="160">
        <v>133.53803417829636</v>
      </c>
      <c r="D66" s="77"/>
      <c r="E66" s="26">
        <f t="shared" si="3"/>
        <v>2022</v>
      </c>
      <c r="F66" s="26">
        <f t="shared" si="4"/>
        <v>4</v>
      </c>
      <c r="G66" s="165">
        <v>44652</v>
      </c>
      <c r="H66" s="26" t="s">
        <v>187</v>
      </c>
      <c r="I66" s="26"/>
      <c r="J66" s="166">
        <v>3.5772887905691872</v>
      </c>
      <c r="K66" s="166">
        <v>0.17129999999999992</v>
      </c>
      <c r="L66" s="166">
        <v>3.7485887905691873</v>
      </c>
      <c r="M66" s="166">
        <v>3.5772887905691872</v>
      </c>
      <c r="N66" s="166">
        <v>1.0058187458141103</v>
      </c>
      <c r="O66" s="166">
        <v>4.5831075363832978</v>
      </c>
      <c r="P66" s="166">
        <v>3.9653243409704397</v>
      </c>
      <c r="Q66" s="166">
        <v>0.46818750000000003</v>
      </c>
      <c r="R66" s="166">
        <v>4.4335118409704402</v>
      </c>
      <c r="S66" s="26"/>
      <c r="T66" s="167">
        <f t="shared" si="5"/>
        <v>3.7066339740362717</v>
      </c>
    </row>
    <row r="67" spans="1:20">
      <c r="A67" s="156"/>
      <c r="B67" s="161">
        <v>2034</v>
      </c>
      <c r="C67" s="160">
        <v>135.95701854289973</v>
      </c>
      <c r="D67" s="77"/>
      <c r="E67" s="26">
        <f t="shared" si="3"/>
        <v>2022</v>
      </c>
      <c r="F67" s="26">
        <f t="shared" si="4"/>
        <v>5</v>
      </c>
      <c r="G67" s="165">
        <v>44682</v>
      </c>
      <c r="H67" s="26" t="s">
        <v>188</v>
      </c>
      <c r="I67" s="26"/>
      <c r="J67" s="166">
        <v>3.7627237939848346</v>
      </c>
      <c r="K67" s="166">
        <v>0.17129999999999992</v>
      </c>
      <c r="L67" s="166">
        <v>3.9340237939848346</v>
      </c>
      <c r="M67" s="166">
        <v>3.7627237939848346</v>
      </c>
      <c r="N67" s="166">
        <v>1.0058187458141103</v>
      </c>
      <c r="O67" s="166">
        <v>4.7685425397989452</v>
      </c>
      <c r="P67" s="166">
        <v>4.1710271799170355</v>
      </c>
      <c r="Q67" s="166">
        <v>0.46818750000000003</v>
      </c>
      <c r="R67" s="166">
        <v>4.6392146799170355</v>
      </c>
      <c r="S67" s="26"/>
      <c r="T67" s="167">
        <f t="shared" si="5"/>
        <v>3.898824922628902</v>
      </c>
    </row>
    <row r="68" spans="1:20">
      <c r="A68" s="156"/>
      <c r="B68" s="161">
        <v>2035</v>
      </c>
      <c r="C68" s="160">
        <v>138.40099284381583</v>
      </c>
      <c r="D68" s="77"/>
      <c r="E68" s="26">
        <f t="shared" ref="E68:E131" si="6">YEAR(G68)</f>
        <v>2022</v>
      </c>
      <c r="F68" s="26">
        <f t="shared" ref="F68:F131" si="7">MONTH(G68)</f>
        <v>6</v>
      </c>
      <c r="G68" s="165">
        <v>44713</v>
      </c>
      <c r="H68" s="26" t="s">
        <v>189</v>
      </c>
      <c r="I68" s="26"/>
      <c r="J68" s="166">
        <v>3.6487978380206756</v>
      </c>
      <c r="K68" s="166">
        <v>0.17129999999999992</v>
      </c>
      <c r="L68" s="166">
        <v>3.8200978380206756</v>
      </c>
      <c r="M68" s="166">
        <v>3.6487978380206756</v>
      </c>
      <c r="N68" s="166">
        <v>1.0058187458141103</v>
      </c>
      <c r="O68" s="166">
        <v>4.6546165838347857</v>
      </c>
      <c r="P68" s="166">
        <v>4.0587645698728778</v>
      </c>
      <c r="Q68" s="166">
        <v>0.46818750000000003</v>
      </c>
      <c r="R68" s="166">
        <v>4.5269520698728778</v>
      </c>
      <c r="S68" s="26"/>
      <c r="T68" s="167">
        <f t="shared" ref="T68:T131" si="8">AVERAGE(J68,M68,P68)</f>
        <v>3.7854534153047426</v>
      </c>
    </row>
    <row r="69" spans="1:20">
      <c r="A69" s="156"/>
      <c r="B69" s="161">
        <v>2036</v>
      </c>
      <c r="C69" s="160">
        <v>140.85811296110637</v>
      </c>
      <c r="D69" s="77"/>
      <c r="E69" s="26">
        <f t="shared" si="6"/>
        <v>2022</v>
      </c>
      <c r="F69" s="26">
        <f t="shared" si="7"/>
        <v>7</v>
      </c>
      <c r="G69" s="165">
        <v>44743</v>
      </c>
      <c r="H69" s="26" t="s">
        <v>190</v>
      </c>
      <c r="I69" s="26"/>
      <c r="J69" s="166">
        <v>3.6855832842566447</v>
      </c>
      <c r="K69" s="166">
        <v>0.17129999999999992</v>
      </c>
      <c r="L69" s="166">
        <v>3.8568832842566447</v>
      </c>
      <c r="M69" s="166">
        <v>3.6855832842566447</v>
      </c>
      <c r="N69" s="166">
        <v>1.0058187458141103</v>
      </c>
      <c r="O69" s="166">
        <v>4.6914020300707548</v>
      </c>
      <c r="P69" s="166">
        <v>4.1021635277082078</v>
      </c>
      <c r="Q69" s="166">
        <v>0.46818750000000003</v>
      </c>
      <c r="R69" s="166">
        <v>4.5703510277082078</v>
      </c>
      <c r="S69" s="26"/>
      <c r="T69" s="167">
        <f t="shared" si="8"/>
        <v>3.8244433654071659</v>
      </c>
    </row>
    <row r="70" spans="1:20">
      <c r="A70" s="156"/>
      <c r="B70" s="161">
        <v>2037</v>
      </c>
      <c r="C70" s="160">
        <v>143.3482269130551</v>
      </c>
      <c r="D70" s="77"/>
      <c r="E70" s="26">
        <f t="shared" si="6"/>
        <v>2022</v>
      </c>
      <c r="F70" s="26">
        <f t="shared" si="7"/>
        <v>8</v>
      </c>
      <c r="G70" s="165">
        <v>44774</v>
      </c>
      <c r="H70" s="26" t="s">
        <v>191</v>
      </c>
      <c r="I70" s="26"/>
      <c r="J70" s="166">
        <v>3.7141990712552038</v>
      </c>
      <c r="K70" s="166">
        <v>0.17129999999999992</v>
      </c>
      <c r="L70" s="166">
        <v>3.8854990712552038</v>
      </c>
      <c r="M70" s="166">
        <v>3.7141990712552038</v>
      </c>
      <c r="N70" s="166">
        <v>1.0058187458141103</v>
      </c>
      <c r="O70" s="166">
        <v>4.7200178170693139</v>
      </c>
      <c r="P70" s="166">
        <v>4.1365117170305155</v>
      </c>
      <c r="Q70" s="166">
        <v>0.46818750000000003</v>
      </c>
      <c r="R70" s="166">
        <v>4.6046992170305154</v>
      </c>
      <c r="S70" s="26"/>
      <c r="T70" s="167">
        <f t="shared" si="8"/>
        <v>3.8549699531803072</v>
      </c>
    </row>
    <row r="71" spans="1:20">
      <c r="A71" s="156"/>
      <c r="B71" s="161">
        <v>2038</v>
      </c>
      <c r="C71" s="160">
        <v>145.87498673210007</v>
      </c>
      <c r="D71" s="77"/>
      <c r="E71" s="26">
        <f t="shared" si="6"/>
        <v>2022</v>
      </c>
      <c r="F71" s="26">
        <f t="shared" si="7"/>
        <v>9</v>
      </c>
      <c r="G71" s="165">
        <v>44805</v>
      </c>
      <c r="H71" s="26" t="s">
        <v>192</v>
      </c>
      <c r="I71" s="26"/>
      <c r="J71" s="166">
        <v>3.3844906237349761</v>
      </c>
      <c r="K71" s="166">
        <v>0.17129999999999992</v>
      </c>
      <c r="L71" s="166">
        <v>3.5557906237349761</v>
      </c>
      <c r="M71" s="166">
        <v>3.3844906237349761</v>
      </c>
      <c r="N71" s="166">
        <v>1.0058187458141103</v>
      </c>
      <c r="O71" s="166">
        <v>4.3903093695490867</v>
      </c>
      <c r="P71" s="166">
        <v>3.7715893581224731</v>
      </c>
      <c r="Q71" s="166">
        <v>0.46818750000000003</v>
      </c>
      <c r="R71" s="166">
        <v>4.2397768581224735</v>
      </c>
      <c r="S71" s="26"/>
      <c r="T71" s="167">
        <f t="shared" si="8"/>
        <v>3.513523535197475</v>
      </c>
    </row>
    <row r="72" spans="1:20">
      <c r="A72" s="156"/>
      <c r="B72" s="161">
        <v>2039</v>
      </c>
      <c r="C72" s="160">
        <v>148.39906075351306</v>
      </c>
      <c r="D72" s="77"/>
      <c r="E72" s="26">
        <f t="shared" si="6"/>
        <v>2022</v>
      </c>
      <c r="F72" s="26">
        <f t="shared" si="7"/>
        <v>10</v>
      </c>
      <c r="G72" s="165">
        <v>44835</v>
      </c>
      <c r="H72" s="26" t="s">
        <v>193</v>
      </c>
      <c r="I72" s="26"/>
      <c r="J72" s="166">
        <v>3.4174954250729859</v>
      </c>
      <c r="K72" s="166">
        <v>0.17129999999999992</v>
      </c>
      <c r="L72" s="166">
        <v>3.5887954250729859</v>
      </c>
      <c r="M72" s="166">
        <v>3.4174954250729859</v>
      </c>
      <c r="N72" s="166">
        <v>1.0058187458141103</v>
      </c>
      <c r="O72" s="166">
        <v>4.423314170887096</v>
      </c>
      <c r="P72" s="166">
        <v>3.8106643394828597</v>
      </c>
      <c r="Q72" s="166">
        <v>0.46818750000000003</v>
      </c>
      <c r="R72" s="166">
        <v>4.2788518394828596</v>
      </c>
      <c r="S72" s="26"/>
      <c r="T72" s="167">
        <f t="shared" si="8"/>
        <v>3.548551729876277</v>
      </c>
    </row>
    <row r="73" spans="1:20">
      <c r="A73" s="156"/>
      <c r="B73" s="161">
        <v>2040</v>
      </c>
      <c r="C73" s="160">
        <v>150.92876901120502</v>
      </c>
      <c r="D73" s="77"/>
      <c r="E73" s="26">
        <f t="shared" si="6"/>
        <v>2022</v>
      </c>
      <c r="F73" s="26">
        <f t="shared" si="7"/>
        <v>11</v>
      </c>
      <c r="G73" s="165">
        <v>44866</v>
      </c>
      <c r="H73" s="26" t="s">
        <v>194</v>
      </c>
      <c r="I73" s="26"/>
      <c r="J73" s="166">
        <v>3.3543015735946153</v>
      </c>
      <c r="K73" s="166">
        <v>0.17129999999999992</v>
      </c>
      <c r="L73" s="166">
        <v>3.5256015735946153</v>
      </c>
      <c r="M73" s="166">
        <v>3.3543015735946153</v>
      </c>
      <c r="N73" s="166">
        <v>1.0058187458141103</v>
      </c>
      <c r="O73" s="166">
        <v>4.3601203194087255</v>
      </c>
      <c r="P73" s="166">
        <v>3.7424515891421732</v>
      </c>
      <c r="Q73" s="166">
        <v>0.46818750000000003</v>
      </c>
      <c r="R73" s="166">
        <v>4.2106390891421732</v>
      </c>
      <c r="S73" s="26"/>
      <c r="T73" s="167">
        <f t="shared" si="8"/>
        <v>3.4836849121104678</v>
      </c>
    </row>
    <row r="74" spans="1:20">
      <c r="A74" s="156"/>
      <c r="B74" s="161">
        <v>2041</v>
      </c>
      <c r="C74" s="160">
        <v>153.46401373817156</v>
      </c>
      <c r="D74" s="77"/>
      <c r="E74" s="26">
        <f t="shared" si="6"/>
        <v>2022</v>
      </c>
      <c r="F74" s="26">
        <f t="shared" si="7"/>
        <v>12</v>
      </c>
      <c r="G74" s="165">
        <v>44896</v>
      </c>
      <c r="H74" s="26" t="s">
        <v>195</v>
      </c>
      <c r="I74" s="26"/>
      <c r="J74" s="166">
        <v>3.7080567001943971</v>
      </c>
      <c r="K74" s="166">
        <v>0.17129999999999992</v>
      </c>
      <c r="L74" s="166">
        <v>3.8793567001943972</v>
      </c>
      <c r="M74" s="166">
        <v>3.7080567001943971</v>
      </c>
      <c r="N74" s="166">
        <v>1.0058187458141103</v>
      </c>
      <c r="O74" s="166">
        <v>4.7138754460085073</v>
      </c>
      <c r="P74" s="166">
        <v>4.1396292531496126</v>
      </c>
      <c r="Q74" s="166">
        <v>0.46818750000000003</v>
      </c>
      <c r="R74" s="166">
        <v>4.6078167531496126</v>
      </c>
      <c r="S74" s="26"/>
      <c r="T74" s="167">
        <f t="shared" si="8"/>
        <v>3.8519142178461352</v>
      </c>
    </row>
    <row r="75" spans="1:20">
      <c r="A75" s="156"/>
      <c r="B75" s="161">
        <v>2042</v>
      </c>
      <c r="C75" s="160">
        <v>155.97407653581939</v>
      </c>
      <c r="D75" s="77"/>
      <c r="E75" s="26">
        <f t="shared" si="6"/>
        <v>2023</v>
      </c>
      <c r="F75" s="26">
        <f t="shared" si="7"/>
        <v>1</v>
      </c>
      <c r="G75" s="165">
        <v>44927</v>
      </c>
      <c r="H75" s="26" t="s">
        <v>196</v>
      </c>
      <c r="I75" s="26"/>
      <c r="J75" s="166">
        <v>4.0261178539896996</v>
      </c>
      <c r="K75" s="166">
        <v>0.17129999999999992</v>
      </c>
      <c r="L75" s="166">
        <v>4.1974178539896991</v>
      </c>
      <c r="M75" s="166">
        <v>4.0261178539896996</v>
      </c>
      <c r="N75" s="166">
        <v>1.0058187458141103</v>
      </c>
      <c r="O75" s="166">
        <v>5.0319365998038101</v>
      </c>
      <c r="P75" s="166">
        <v>4.4984608329212596</v>
      </c>
      <c r="Q75" s="166">
        <v>0.46818750000000003</v>
      </c>
      <c r="R75" s="166">
        <v>4.9666483329212596</v>
      </c>
      <c r="S75" s="26"/>
      <c r="T75" s="167">
        <f t="shared" si="8"/>
        <v>4.1835655136335532</v>
      </c>
    </row>
    <row r="76" spans="1:20">
      <c r="A76" s="156"/>
      <c r="B76" s="161">
        <v>2043</v>
      </c>
      <c r="C76" s="160">
        <v>158.46551959223174</v>
      </c>
      <c r="D76" s="77"/>
      <c r="E76" s="26">
        <f t="shared" si="6"/>
        <v>2023</v>
      </c>
      <c r="F76" s="26">
        <f t="shared" si="7"/>
        <v>2</v>
      </c>
      <c r="G76" s="165">
        <v>44958</v>
      </c>
      <c r="H76" s="26" t="s">
        <v>197</v>
      </c>
      <c r="I76" s="26"/>
      <c r="J76" s="166">
        <v>4.1095802096921998</v>
      </c>
      <c r="K76" s="166">
        <v>0.17129999999999992</v>
      </c>
      <c r="L76" s="166">
        <v>4.2808802096921994</v>
      </c>
      <c r="M76" s="166">
        <v>4.1095802096921998</v>
      </c>
      <c r="N76" s="166">
        <v>1.0058187458141103</v>
      </c>
      <c r="O76" s="166">
        <v>5.1153989555063104</v>
      </c>
      <c r="P76" s="166">
        <v>4.5944147034268994</v>
      </c>
      <c r="Q76" s="166">
        <v>0.46818750000000003</v>
      </c>
      <c r="R76" s="166">
        <v>5.0626022034268994</v>
      </c>
      <c r="S76" s="26"/>
      <c r="T76" s="167">
        <f t="shared" si="8"/>
        <v>4.2711917076037667</v>
      </c>
    </row>
    <row r="77" spans="1:20">
      <c r="A77" s="156"/>
      <c r="B77" s="161">
        <v>2044</v>
      </c>
      <c r="C77" s="160">
        <v>160.93119791441072</v>
      </c>
      <c r="D77" s="77"/>
      <c r="E77" s="26">
        <f t="shared" si="6"/>
        <v>2023</v>
      </c>
      <c r="F77" s="26">
        <f t="shared" si="7"/>
        <v>3</v>
      </c>
      <c r="G77" s="165">
        <v>44986</v>
      </c>
      <c r="H77" s="26" t="s">
        <v>198</v>
      </c>
      <c r="I77" s="26"/>
      <c r="J77" s="166">
        <v>3.6708745124189526</v>
      </c>
      <c r="K77" s="166">
        <v>0.17129999999999992</v>
      </c>
      <c r="L77" s="166">
        <v>3.8421745124189526</v>
      </c>
      <c r="M77" s="166">
        <v>3.6708745124189526</v>
      </c>
      <c r="N77" s="166">
        <v>1.0058187458141103</v>
      </c>
      <c r="O77" s="166">
        <v>4.6766932582330627</v>
      </c>
      <c r="P77" s="166">
        <v>4.1063618971492266</v>
      </c>
      <c r="Q77" s="166">
        <v>0.46818750000000003</v>
      </c>
      <c r="R77" s="166">
        <v>4.5745493971492266</v>
      </c>
      <c r="S77" s="26"/>
      <c r="T77" s="167">
        <f t="shared" si="8"/>
        <v>3.8160369739957107</v>
      </c>
    </row>
    <row r="78" spans="1:20">
      <c r="A78" s="156"/>
      <c r="B78" s="161">
        <v>2045</v>
      </c>
      <c r="C78" s="160">
        <v>163.38758461311616</v>
      </c>
      <c r="D78" s="77"/>
      <c r="E78" s="26">
        <f t="shared" si="6"/>
        <v>2023</v>
      </c>
      <c r="F78" s="26">
        <f t="shared" si="7"/>
        <v>4</v>
      </c>
      <c r="G78" s="165">
        <v>45017</v>
      </c>
      <c r="H78" s="26" t="s">
        <v>199</v>
      </c>
      <c r="I78" s="26"/>
      <c r="J78" s="166">
        <v>3.6660159974998483</v>
      </c>
      <c r="K78" s="166">
        <v>0.17129999999999992</v>
      </c>
      <c r="L78" s="166">
        <v>3.8373159974998483</v>
      </c>
      <c r="M78" s="166">
        <v>3.6660159974998483</v>
      </c>
      <c r="N78" s="166">
        <v>1.0058187458141103</v>
      </c>
      <c r="O78" s="166">
        <v>4.6718347433139584</v>
      </c>
      <c r="P78" s="166">
        <v>4.1033321184317568</v>
      </c>
      <c r="Q78" s="166">
        <v>0.46818750000000003</v>
      </c>
      <c r="R78" s="166">
        <v>4.5715196184317568</v>
      </c>
      <c r="S78" s="26"/>
      <c r="T78" s="167">
        <f t="shared" si="8"/>
        <v>3.8117880378104849</v>
      </c>
    </row>
    <row r="79" spans="1:20">
      <c r="A79" s="156"/>
      <c r="B79" s="161">
        <v>2046</v>
      </c>
      <c r="C79" s="160">
        <v>165.79615767727108</v>
      </c>
      <c r="D79" s="77"/>
      <c r="E79" s="26">
        <f t="shared" si="6"/>
        <v>2023</v>
      </c>
      <c r="F79" s="26">
        <f t="shared" si="7"/>
        <v>5</v>
      </c>
      <c r="G79" s="165">
        <v>45047</v>
      </c>
      <c r="H79" s="26" t="s">
        <v>200</v>
      </c>
      <c r="I79" s="26"/>
      <c r="J79" s="166">
        <v>3.8571408332043364</v>
      </c>
      <c r="K79" s="166">
        <v>0.17129999999999992</v>
      </c>
      <c r="L79" s="166">
        <v>4.0284408332043364</v>
      </c>
      <c r="M79" s="166">
        <v>3.8571408332043364</v>
      </c>
      <c r="N79" s="166">
        <v>1.0058187458141103</v>
      </c>
      <c r="O79" s="166">
        <v>4.8629595790184466</v>
      </c>
      <c r="P79" s="166">
        <v>4.3197848953530178</v>
      </c>
      <c r="Q79" s="166">
        <v>0.46818750000000003</v>
      </c>
      <c r="R79" s="166">
        <v>4.7879723953530178</v>
      </c>
      <c r="S79" s="26"/>
      <c r="T79" s="167">
        <f t="shared" si="8"/>
        <v>4.0113555205872302</v>
      </c>
    </row>
    <row r="80" spans="1:20">
      <c r="A80" s="156"/>
      <c r="B80" s="161">
        <v>2047</v>
      </c>
      <c r="C80" s="160">
        <v>168.21156995790008</v>
      </c>
      <c r="D80" s="77"/>
      <c r="E80" s="26">
        <f t="shared" si="6"/>
        <v>2023</v>
      </c>
      <c r="F80" s="26">
        <f t="shared" si="7"/>
        <v>6</v>
      </c>
      <c r="G80" s="165">
        <v>45078</v>
      </c>
      <c r="H80" s="26" t="s">
        <v>201</v>
      </c>
      <c r="I80" s="26"/>
      <c r="J80" s="166">
        <v>3.7314575011233178</v>
      </c>
      <c r="K80" s="166">
        <v>0.17129999999999992</v>
      </c>
      <c r="L80" s="166">
        <v>3.9027575011233178</v>
      </c>
      <c r="M80" s="166">
        <v>3.7314575011233178</v>
      </c>
      <c r="N80" s="166">
        <v>1.0058187458141103</v>
      </c>
      <c r="O80" s="166">
        <v>4.7372762469374283</v>
      </c>
      <c r="P80" s="166">
        <v>4.1665736279125651</v>
      </c>
      <c r="Q80" s="166">
        <v>0.46818750000000003</v>
      </c>
      <c r="R80" s="166">
        <v>4.6347611279125651</v>
      </c>
      <c r="S80" s="26"/>
      <c r="T80" s="167">
        <f t="shared" si="8"/>
        <v>3.8764962100530673</v>
      </c>
    </row>
    <row r="81" spans="1:20">
      <c r="A81" s="156"/>
      <c r="B81" s="161">
        <v>2048</v>
      </c>
      <c r="C81" s="160">
        <v>170.64196168592028</v>
      </c>
      <c r="D81" s="77"/>
      <c r="E81" s="26">
        <f t="shared" si="6"/>
        <v>2023</v>
      </c>
      <c r="F81" s="26">
        <f t="shared" si="7"/>
        <v>7</v>
      </c>
      <c r="G81" s="165">
        <v>45108</v>
      </c>
      <c r="H81" s="26" t="s">
        <v>202</v>
      </c>
      <c r="I81" s="26"/>
      <c r="J81" s="166">
        <v>3.7684699836960949</v>
      </c>
      <c r="K81" s="166">
        <v>0.17129999999999992</v>
      </c>
      <c r="L81" s="166">
        <v>3.9397699836960949</v>
      </c>
      <c r="M81" s="166">
        <v>3.7684699836960949</v>
      </c>
      <c r="N81" s="166">
        <v>1.0058187458141103</v>
      </c>
      <c r="O81" s="166">
        <v>4.7742887295102054</v>
      </c>
      <c r="P81" s="166">
        <v>4.2078676831460191</v>
      </c>
      <c r="Q81" s="166">
        <v>0.46818750000000003</v>
      </c>
      <c r="R81" s="166">
        <v>4.6760551831460191</v>
      </c>
      <c r="S81" s="26"/>
      <c r="T81" s="167">
        <f t="shared" si="8"/>
        <v>3.9149358835127366</v>
      </c>
    </row>
    <row r="82" spans="1:20">
      <c r="A82" s="156"/>
      <c r="B82" s="161">
        <v>2049</v>
      </c>
      <c r="C82" s="162">
        <v>173.06734823606439</v>
      </c>
      <c r="D82" s="78"/>
      <c r="E82" s="26">
        <f t="shared" si="6"/>
        <v>2023</v>
      </c>
      <c r="F82" s="26">
        <f t="shared" si="7"/>
        <v>8</v>
      </c>
      <c r="G82" s="165">
        <v>45139</v>
      </c>
      <c r="H82" s="26" t="s">
        <v>203</v>
      </c>
      <c r="I82" s="26"/>
      <c r="J82" s="166">
        <v>3.79711873531055</v>
      </c>
      <c r="K82" s="166">
        <v>0.17129999999999992</v>
      </c>
      <c r="L82" s="166">
        <v>3.96841873531055</v>
      </c>
      <c r="M82" s="166">
        <v>3.79711873531055</v>
      </c>
      <c r="N82" s="166">
        <v>1.0058187458141103</v>
      </c>
      <c r="O82" s="166">
        <v>4.8029374811246601</v>
      </c>
      <c r="P82" s="166">
        <v>4.239822223329643</v>
      </c>
      <c r="Q82" s="166">
        <v>0.46818750000000003</v>
      </c>
      <c r="R82" s="166">
        <v>4.708009723329643</v>
      </c>
      <c r="S82" s="26"/>
      <c r="T82" s="167">
        <f t="shared" si="8"/>
        <v>3.9446865646502474</v>
      </c>
    </row>
    <row r="83" spans="1:20">
      <c r="A83" s="156"/>
      <c r="B83" s="161">
        <v>2050</v>
      </c>
      <c r="C83" s="162">
        <v>175.48252381041857</v>
      </c>
      <c r="D83" s="78"/>
      <c r="E83" s="26">
        <f t="shared" si="6"/>
        <v>2023</v>
      </c>
      <c r="F83" s="26">
        <f t="shared" si="7"/>
        <v>9</v>
      </c>
      <c r="G83" s="165">
        <v>45170</v>
      </c>
      <c r="H83" s="26" t="s">
        <v>204</v>
      </c>
      <c r="I83" s="26"/>
      <c r="J83" s="166">
        <v>3.4594935257045432</v>
      </c>
      <c r="K83" s="166">
        <v>0.17129999999999992</v>
      </c>
      <c r="L83" s="166">
        <v>3.6307935257045432</v>
      </c>
      <c r="M83" s="166">
        <v>3.4594935257045432</v>
      </c>
      <c r="N83" s="166">
        <v>1.0058187458141103</v>
      </c>
      <c r="O83" s="166">
        <v>4.4653122715186537</v>
      </c>
      <c r="P83" s="166">
        <v>3.862801998323389</v>
      </c>
      <c r="Q83" s="166">
        <v>0.46818750000000003</v>
      </c>
      <c r="R83" s="166">
        <v>4.3309894983233894</v>
      </c>
      <c r="S83" s="26"/>
      <c r="T83" s="167">
        <f t="shared" si="8"/>
        <v>3.5939296832441587</v>
      </c>
    </row>
    <row r="84" spans="1:20">
      <c r="A84" s="156"/>
      <c r="B84" s="161">
        <v>2051</v>
      </c>
      <c r="C84" s="162">
        <v>177.90846543685257</v>
      </c>
      <c r="D84" s="78"/>
      <c r="E84" s="26">
        <f t="shared" si="6"/>
        <v>2023</v>
      </c>
      <c r="F84" s="26">
        <f t="shared" si="7"/>
        <v>10</v>
      </c>
      <c r="G84" s="165">
        <v>45200</v>
      </c>
      <c r="H84" s="26" t="s">
        <v>205</v>
      </c>
      <c r="I84" s="26"/>
      <c r="J84" s="166">
        <v>3.4926686947286769</v>
      </c>
      <c r="K84" s="166">
        <v>0.17129999999999992</v>
      </c>
      <c r="L84" s="166">
        <v>3.6639686947286769</v>
      </c>
      <c r="M84" s="166">
        <v>3.4926686947286769</v>
      </c>
      <c r="N84" s="166">
        <v>1.0058187458141103</v>
      </c>
      <c r="O84" s="166">
        <v>4.498487440542787</v>
      </c>
      <c r="P84" s="166">
        <v>3.8998129226039624</v>
      </c>
      <c r="Q84" s="166">
        <v>0.46818750000000003</v>
      </c>
      <c r="R84" s="166">
        <v>4.3680004226039628</v>
      </c>
      <c r="S84" s="26"/>
      <c r="T84" s="167">
        <f t="shared" si="8"/>
        <v>3.6283834373537722</v>
      </c>
    </row>
    <row r="85" spans="1:20">
      <c r="A85" s="156"/>
      <c r="B85" s="161">
        <v>2052</v>
      </c>
      <c r="C85" s="160">
        <v>180.33267975015224</v>
      </c>
      <c r="D85" s="77"/>
      <c r="E85" s="26">
        <f t="shared" si="6"/>
        <v>2023</v>
      </c>
      <c r="F85" s="26">
        <f t="shared" si="7"/>
        <v>11</v>
      </c>
      <c r="G85" s="165">
        <v>45231</v>
      </c>
      <c r="H85" s="26" t="s">
        <v>206</v>
      </c>
      <c r="I85" s="26"/>
      <c r="J85" s="166">
        <v>3.4275345005340481</v>
      </c>
      <c r="K85" s="166">
        <v>0.17129999999999992</v>
      </c>
      <c r="L85" s="166">
        <v>3.5988345005340481</v>
      </c>
      <c r="M85" s="166">
        <v>3.4275345005340481</v>
      </c>
      <c r="N85" s="166">
        <v>1.0058187458141103</v>
      </c>
      <c r="O85" s="166">
        <v>4.4333532463481582</v>
      </c>
      <c r="P85" s="166">
        <v>3.8270547555845025</v>
      </c>
      <c r="Q85" s="166">
        <v>0.46818750000000003</v>
      </c>
      <c r="R85" s="166">
        <v>4.2952422555845029</v>
      </c>
      <c r="S85" s="26"/>
      <c r="T85" s="167">
        <f t="shared" si="8"/>
        <v>3.5607079188841997</v>
      </c>
    </row>
    <row r="86" spans="1:20">
      <c r="A86" s="156"/>
      <c r="B86" s="161">
        <v>2053</v>
      </c>
      <c r="C86" s="160">
        <v>182.75336178265752</v>
      </c>
      <c r="D86" s="77"/>
      <c r="E86" s="26">
        <f t="shared" si="6"/>
        <v>2023</v>
      </c>
      <c r="F86" s="26">
        <f t="shared" si="7"/>
        <v>12</v>
      </c>
      <c r="G86" s="165">
        <v>45261</v>
      </c>
      <c r="H86" s="26" t="s">
        <v>207</v>
      </c>
      <c r="I86" s="26"/>
      <c r="J86" s="166">
        <v>3.7884050876146165</v>
      </c>
      <c r="K86" s="166">
        <v>0.17129999999999992</v>
      </c>
      <c r="L86" s="166">
        <v>3.9597050876146165</v>
      </c>
      <c r="M86" s="166">
        <v>3.7884050876146165</v>
      </c>
      <c r="N86" s="166">
        <v>1.0058187458141103</v>
      </c>
      <c r="O86" s="166">
        <v>4.7942238334287266</v>
      </c>
      <c r="P86" s="166">
        <v>4.2299546562802641</v>
      </c>
      <c r="Q86" s="166">
        <v>0.46818750000000003</v>
      </c>
      <c r="R86" s="166">
        <v>4.6981421562802641</v>
      </c>
      <c r="S86" s="26"/>
      <c r="T86" s="167">
        <f t="shared" si="8"/>
        <v>3.9355882771698325</v>
      </c>
    </row>
    <row r="87" spans="1:20">
      <c r="A87" s="156"/>
      <c r="B87" s="161">
        <v>2054</v>
      </c>
      <c r="C87" s="162">
        <v>185.17553071310522</v>
      </c>
      <c r="D87" s="78"/>
      <c r="E87" s="26">
        <f t="shared" si="6"/>
        <v>2024</v>
      </c>
      <c r="F87" s="26">
        <f t="shared" si="7"/>
        <v>1</v>
      </c>
      <c r="G87" s="165">
        <v>45292</v>
      </c>
      <c r="H87" s="26" t="s">
        <v>208</v>
      </c>
      <c r="I87" s="26"/>
      <c r="J87" s="166">
        <v>4.1130783077947841</v>
      </c>
      <c r="K87" s="166">
        <v>0.17129999999999992</v>
      </c>
      <c r="L87" s="166">
        <v>4.2843783077947837</v>
      </c>
      <c r="M87" s="166">
        <v>4.1130783077947841</v>
      </c>
      <c r="N87" s="166">
        <v>1.0058187458141103</v>
      </c>
      <c r="O87" s="166">
        <v>5.1188970536088947</v>
      </c>
      <c r="P87" s="166">
        <v>4.592408486264377</v>
      </c>
      <c r="Q87" s="166">
        <v>0.46818750000000003</v>
      </c>
      <c r="R87" s="166">
        <v>5.060595986264377</v>
      </c>
      <c r="S87" s="26"/>
      <c r="T87" s="167">
        <f t="shared" si="8"/>
        <v>4.2728550339513154</v>
      </c>
    </row>
    <row r="88" spans="1:20">
      <c r="A88" s="156"/>
      <c r="B88" s="161">
        <v>2055</v>
      </c>
      <c r="C88" s="160">
        <v>187.59978534399124</v>
      </c>
      <c r="D88" s="77"/>
      <c r="E88" s="26">
        <f t="shared" si="6"/>
        <v>2024</v>
      </c>
      <c r="F88" s="26">
        <f t="shared" si="7"/>
        <v>2</v>
      </c>
      <c r="G88" s="165">
        <v>45323</v>
      </c>
      <c r="H88" s="26" t="s">
        <v>209</v>
      </c>
      <c r="I88" s="26"/>
      <c r="J88" s="166">
        <v>4.1976832491391232</v>
      </c>
      <c r="K88" s="166">
        <v>0.17129999999999992</v>
      </c>
      <c r="L88" s="166">
        <v>4.3689832491391227</v>
      </c>
      <c r="M88" s="166">
        <v>4.1976832491391232</v>
      </c>
      <c r="N88" s="166">
        <v>1.0058187458141103</v>
      </c>
      <c r="O88" s="166">
        <v>5.2035019949532337</v>
      </c>
      <c r="P88" s="166">
        <v>4.6868356801953661</v>
      </c>
      <c r="Q88" s="166">
        <v>0.46818750000000003</v>
      </c>
      <c r="R88" s="166">
        <v>5.1550231801953661</v>
      </c>
      <c r="S88" s="26"/>
      <c r="T88" s="167">
        <f t="shared" si="8"/>
        <v>4.3607340594912039</v>
      </c>
    </row>
    <row r="89" spans="1:20">
      <c r="A89" s="156"/>
      <c r="B89" s="161">
        <v>2056</v>
      </c>
      <c r="C89" s="160">
        <v>190.02161183852149</v>
      </c>
      <c r="D89" s="77"/>
      <c r="E89" s="26">
        <f t="shared" si="6"/>
        <v>2024</v>
      </c>
      <c r="F89" s="26">
        <f t="shared" si="7"/>
        <v>3</v>
      </c>
      <c r="G89" s="165">
        <v>45352</v>
      </c>
      <c r="H89" s="26" t="s">
        <v>210</v>
      </c>
      <c r="I89" s="26"/>
      <c r="J89" s="166">
        <v>3.7489831205250179</v>
      </c>
      <c r="K89" s="166">
        <v>0.17129999999999992</v>
      </c>
      <c r="L89" s="166">
        <v>3.9202831205250179</v>
      </c>
      <c r="M89" s="166">
        <v>3.7489831205250179</v>
      </c>
      <c r="N89" s="166">
        <v>1.0058187458141103</v>
      </c>
      <c r="O89" s="166">
        <v>4.754801866339128</v>
      </c>
      <c r="P89" s="166">
        <v>4.1858154811015993</v>
      </c>
      <c r="Q89" s="166">
        <v>0.46818750000000003</v>
      </c>
      <c r="R89" s="166">
        <v>4.6540029811015993</v>
      </c>
      <c r="S89" s="26"/>
      <c r="T89" s="167">
        <f t="shared" si="8"/>
        <v>3.8945939073838787</v>
      </c>
    </row>
    <row r="90" spans="1:20">
      <c r="A90" s="156"/>
      <c r="B90" s="161">
        <v>2057</v>
      </c>
      <c r="C90" s="162">
        <v>192.44388020710721</v>
      </c>
      <c r="D90" s="78"/>
      <c r="E90" s="26">
        <f t="shared" si="6"/>
        <v>2024</v>
      </c>
      <c r="F90" s="26">
        <f t="shared" si="7"/>
        <v>4</v>
      </c>
      <c r="G90" s="165">
        <v>45383</v>
      </c>
      <c r="H90" s="26" t="s">
        <v>211</v>
      </c>
      <c r="I90" s="26"/>
      <c r="J90" s="166">
        <v>3.7434331402430545</v>
      </c>
      <c r="K90" s="166">
        <v>0.17129999999999992</v>
      </c>
      <c r="L90" s="166">
        <v>3.9147331402430545</v>
      </c>
      <c r="M90" s="166">
        <v>3.7434331402430545</v>
      </c>
      <c r="N90" s="166">
        <v>1.0058187458141103</v>
      </c>
      <c r="O90" s="166">
        <v>4.7492518860571646</v>
      </c>
      <c r="P90" s="166">
        <v>4.1795854481296457</v>
      </c>
      <c r="Q90" s="166">
        <v>0.46818750000000003</v>
      </c>
      <c r="R90" s="166">
        <v>4.6477729481296457</v>
      </c>
      <c r="S90" s="26"/>
      <c r="T90" s="167">
        <f t="shared" si="8"/>
        <v>3.8888172428719181</v>
      </c>
    </row>
    <row r="91" spans="1:20">
      <c r="B91" s="155"/>
      <c r="C91" s="69"/>
      <c r="E91" s="26">
        <f t="shared" si="6"/>
        <v>2024</v>
      </c>
      <c r="F91" s="26">
        <f t="shared" si="7"/>
        <v>5</v>
      </c>
      <c r="G91" s="165">
        <v>45413</v>
      </c>
      <c r="H91" s="26" t="s">
        <v>212</v>
      </c>
      <c r="I91" s="26"/>
      <c r="J91" s="166">
        <v>3.9379757257891663</v>
      </c>
      <c r="K91" s="166">
        <v>0.17129999999999992</v>
      </c>
      <c r="L91" s="166">
        <v>4.1092757257891659</v>
      </c>
      <c r="M91" s="166">
        <v>3.9379757257891663</v>
      </c>
      <c r="N91" s="166">
        <v>1.0058187458141103</v>
      </c>
      <c r="O91" s="166">
        <v>4.9437944716032769</v>
      </c>
      <c r="P91" s="166">
        <v>4.3967593562809126</v>
      </c>
      <c r="Q91" s="166">
        <v>0.46818750000000003</v>
      </c>
      <c r="R91" s="166">
        <v>4.8649468562809126</v>
      </c>
      <c r="S91" s="26"/>
      <c r="T91" s="167">
        <f t="shared" si="8"/>
        <v>4.0909036026197478</v>
      </c>
    </row>
    <row r="92" spans="1:20">
      <c r="B92" s="68" t="s">
        <v>364</v>
      </c>
      <c r="C92" s="67"/>
      <c r="E92" s="26">
        <f t="shared" si="6"/>
        <v>2024</v>
      </c>
      <c r="F92" s="26">
        <f t="shared" si="7"/>
        <v>6</v>
      </c>
      <c r="G92" s="165">
        <v>45444</v>
      </c>
      <c r="H92" s="26" t="s">
        <v>213</v>
      </c>
      <c r="I92" s="26"/>
      <c r="J92" s="166">
        <v>3.809631550715856</v>
      </c>
      <c r="K92" s="166">
        <v>0.17129999999999992</v>
      </c>
      <c r="L92" s="166">
        <v>3.980931550715856</v>
      </c>
      <c r="M92" s="166">
        <v>3.809631550715856</v>
      </c>
      <c r="N92" s="166">
        <v>1.0058187458141103</v>
      </c>
      <c r="O92" s="166">
        <v>4.8154502965299661</v>
      </c>
      <c r="P92" s="166">
        <v>4.2513271687137379</v>
      </c>
      <c r="Q92" s="166">
        <v>0.46818750000000003</v>
      </c>
      <c r="R92" s="166">
        <v>4.7195146687137379</v>
      </c>
      <c r="S92" s="26"/>
      <c r="T92" s="167">
        <f t="shared" si="8"/>
        <v>3.9568634233818165</v>
      </c>
    </row>
    <row r="93" spans="1:20">
      <c r="B93" s="70" t="s">
        <v>365</v>
      </c>
      <c r="C93" s="67"/>
      <c r="E93" s="26">
        <f t="shared" si="6"/>
        <v>2024</v>
      </c>
      <c r="F93" s="26">
        <f t="shared" si="7"/>
        <v>7</v>
      </c>
      <c r="G93" s="165">
        <v>45474</v>
      </c>
      <c r="H93" s="26" t="s">
        <v>214</v>
      </c>
      <c r="I93" s="26"/>
      <c r="J93" s="166">
        <v>3.8469114624154859</v>
      </c>
      <c r="K93" s="166">
        <v>0.17129999999999992</v>
      </c>
      <c r="L93" s="166">
        <v>4.0182114624154854</v>
      </c>
      <c r="M93" s="166">
        <v>3.8469114624154859</v>
      </c>
      <c r="N93" s="166">
        <v>1.0058187458141103</v>
      </c>
      <c r="O93" s="166">
        <v>4.8527302082295964</v>
      </c>
      <c r="P93" s="166">
        <v>4.2925415126784285</v>
      </c>
      <c r="Q93" s="166">
        <v>0.46818750000000003</v>
      </c>
      <c r="R93" s="166">
        <v>4.7607290126784285</v>
      </c>
      <c r="S93" s="26"/>
      <c r="T93" s="167">
        <f t="shared" si="8"/>
        <v>3.9954548125031337</v>
      </c>
    </row>
    <row r="94" spans="1:20">
      <c r="B94" s="71" t="s">
        <v>366</v>
      </c>
      <c r="C94" s="67"/>
      <c r="E94" s="26">
        <f t="shared" si="6"/>
        <v>2024</v>
      </c>
      <c r="F94" s="26">
        <f t="shared" si="7"/>
        <v>8</v>
      </c>
      <c r="G94" s="165">
        <v>45505</v>
      </c>
      <c r="H94" s="26" t="s">
        <v>215</v>
      </c>
      <c r="I94" s="26"/>
      <c r="J94" s="166">
        <v>3.8756448851386711</v>
      </c>
      <c r="K94" s="166">
        <v>0.17129999999999992</v>
      </c>
      <c r="L94" s="166">
        <v>4.0469448851386707</v>
      </c>
      <c r="M94" s="166">
        <v>3.8756448851386711</v>
      </c>
      <c r="N94" s="166">
        <v>1.0058187458141103</v>
      </c>
      <c r="O94" s="166">
        <v>4.8814636309527817</v>
      </c>
      <c r="P94" s="166">
        <v>4.324212716693431</v>
      </c>
      <c r="Q94" s="166">
        <v>0.46818750000000003</v>
      </c>
      <c r="R94" s="166">
        <v>4.792400216693431</v>
      </c>
      <c r="S94" s="26"/>
      <c r="T94" s="167">
        <f t="shared" si="8"/>
        <v>4.0251674956569241</v>
      </c>
    </row>
    <row r="95" spans="1:20">
      <c r="B95" s="71" t="s">
        <v>367</v>
      </c>
      <c r="C95" s="67"/>
      <c r="E95" s="26">
        <f t="shared" si="6"/>
        <v>2024</v>
      </c>
      <c r="F95" s="26">
        <f t="shared" si="7"/>
        <v>9</v>
      </c>
      <c r="G95" s="165">
        <v>45536</v>
      </c>
      <c r="H95" s="26" t="s">
        <v>216</v>
      </c>
      <c r="I95" s="26"/>
      <c r="J95" s="166">
        <v>3.530571437303168</v>
      </c>
      <c r="K95" s="166">
        <v>0.17129999999999992</v>
      </c>
      <c r="L95" s="166">
        <v>3.701871437303168</v>
      </c>
      <c r="M95" s="166">
        <v>3.530571437303168</v>
      </c>
      <c r="N95" s="166">
        <v>1.0058187458141103</v>
      </c>
      <c r="O95" s="166">
        <v>4.5363901831172786</v>
      </c>
      <c r="P95" s="166">
        <v>3.9388445035086534</v>
      </c>
      <c r="Q95" s="166">
        <v>0.46818750000000003</v>
      </c>
      <c r="R95" s="166">
        <v>4.4070320035086539</v>
      </c>
      <c r="S95" s="26"/>
      <c r="T95" s="167">
        <f t="shared" si="8"/>
        <v>3.666662459371663</v>
      </c>
    </row>
    <row r="96" spans="1:20">
      <c r="E96" s="26">
        <f t="shared" si="6"/>
        <v>2024</v>
      </c>
      <c r="F96" s="26">
        <f t="shared" si="7"/>
        <v>10</v>
      </c>
      <c r="G96" s="165">
        <v>45566</v>
      </c>
      <c r="H96" s="26" t="s">
        <v>217</v>
      </c>
      <c r="I96" s="26"/>
      <c r="J96" s="166">
        <v>3.5639579225792999</v>
      </c>
      <c r="K96" s="166">
        <v>0.17129999999999992</v>
      </c>
      <c r="L96" s="166">
        <v>3.7352579225792999</v>
      </c>
      <c r="M96" s="166">
        <v>3.5639579225792999</v>
      </c>
      <c r="N96" s="166">
        <v>1.0058187458141103</v>
      </c>
      <c r="O96" s="166">
        <v>4.56977666839341</v>
      </c>
      <c r="P96" s="166">
        <v>3.9757325481535526</v>
      </c>
      <c r="Q96" s="166">
        <v>0.46818750000000003</v>
      </c>
      <c r="R96" s="166">
        <v>4.4439200481535526</v>
      </c>
      <c r="S96" s="26"/>
      <c r="T96" s="167">
        <f t="shared" si="8"/>
        <v>3.7012161311040508</v>
      </c>
    </row>
    <row r="97" spans="5:20">
      <c r="E97" s="26">
        <f t="shared" si="6"/>
        <v>2024</v>
      </c>
      <c r="F97" s="26">
        <f t="shared" si="7"/>
        <v>11</v>
      </c>
      <c r="G97" s="165">
        <v>45597</v>
      </c>
      <c r="H97" s="26" t="s">
        <v>218</v>
      </c>
      <c r="I97" s="26"/>
      <c r="J97" s="166">
        <v>3.4970329126347997</v>
      </c>
      <c r="K97" s="166">
        <v>0.17129999999999992</v>
      </c>
      <c r="L97" s="166">
        <v>3.6683329126347997</v>
      </c>
      <c r="M97" s="166">
        <v>3.4970329126347997</v>
      </c>
      <c r="N97" s="166">
        <v>1.0058187458141103</v>
      </c>
      <c r="O97" s="166">
        <v>4.5028516584489102</v>
      </c>
      <c r="P97" s="166">
        <v>3.9007226656260512</v>
      </c>
      <c r="Q97" s="166">
        <v>0.46818750000000003</v>
      </c>
      <c r="R97" s="166">
        <v>4.3689101656260512</v>
      </c>
      <c r="S97" s="26"/>
      <c r="T97" s="167">
        <f t="shared" si="8"/>
        <v>3.6315961636318832</v>
      </c>
    </row>
    <row r="98" spans="5:20">
      <c r="E98" s="26">
        <f t="shared" si="6"/>
        <v>2024</v>
      </c>
      <c r="F98" s="26">
        <f t="shared" si="7"/>
        <v>12</v>
      </c>
      <c r="G98" s="165">
        <v>45627</v>
      </c>
      <c r="H98" s="26" t="s">
        <v>219</v>
      </c>
      <c r="I98" s="26"/>
      <c r="J98" s="166">
        <v>3.8647109490789573</v>
      </c>
      <c r="K98" s="166">
        <v>0.17129999999999992</v>
      </c>
      <c r="L98" s="166">
        <v>4.0360109490789569</v>
      </c>
      <c r="M98" s="166">
        <v>3.8647109490789573</v>
      </c>
      <c r="N98" s="166">
        <v>1.0058187458141103</v>
      </c>
      <c r="O98" s="166">
        <v>4.8705296948930679</v>
      </c>
      <c r="P98" s="166">
        <v>4.3104551717606503</v>
      </c>
      <c r="Q98" s="166">
        <v>0.46818750000000003</v>
      </c>
      <c r="R98" s="166">
        <v>4.7786426717606503</v>
      </c>
      <c r="S98" s="26"/>
      <c r="T98" s="167">
        <f t="shared" si="8"/>
        <v>4.0132923566395213</v>
      </c>
    </row>
    <row r="99" spans="5:20">
      <c r="E99" s="26">
        <f t="shared" si="6"/>
        <v>2025</v>
      </c>
      <c r="F99" s="26">
        <f t="shared" si="7"/>
        <v>1</v>
      </c>
      <c r="G99" s="165">
        <v>45658</v>
      </c>
      <c r="H99" s="26" t="s">
        <v>220</v>
      </c>
      <c r="I99" s="26"/>
      <c r="J99" s="166">
        <v>4.1938182054516968</v>
      </c>
      <c r="K99" s="166">
        <v>0.17129999999999992</v>
      </c>
      <c r="L99" s="166">
        <v>4.3651182054516964</v>
      </c>
      <c r="M99" s="166">
        <v>4.1938182054516968</v>
      </c>
      <c r="N99" s="166">
        <v>1.0058187458141103</v>
      </c>
      <c r="O99" s="166">
        <v>5.1996369512658074</v>
      </c>
      <c r="P99" s="166">
        <v>4.6767279648967248</v>
      </c>
      <c r="Q99" s="166">
        <v>0.46818750000000003</v>
      </c>
      <c r="R99" s="166">
        <v>5.1449154648967248</v>
      </c>
      <c r="S99" s="26"/>
      <c r="T99" s="167">
        <f t="shared" si="8"/>
        <v>4.3547881252667056</v>
      </c>
    </row>
    <row r="100" spans="5:20">
      <c r="E100" s="26">
        <f t="shared" si="6"/>
        <v>2025</v>
      </c>
      <c r="F100" s="26">
        <f t="shared" si="7"/>
        <v>2</v>
      </c>
      <c r="G100" s="165">
        <v>45689</v>
      </c>
      <c r="H100" s="26" t="s">
        <v>221</v>
      </c>
      <c r="I100" s="26"/>
      <c r="J100" s="166">
        <v>4.2795306338462327</v>
      </c>
      <c r="K100" s="166">
        <v>0.17129999999999992</v>
      </c>
      <c r="L100" s="166">
        <v>4.4508306338462322</v>
      </c>
      <c r="M100" s="166">
        <v>4.2795306338462327</v>
      </c>
      <c r="N100" s="166">
        <v>1.0058187458141103</v>
      </c>
      <c r="O100" s="166">
        <v>5.2853493796603432</v>
      </c>
      <c r="P100" s="166">
        <v>4.771886940918999</v>
      </c>
      <c r="Q100" s="166">
        <v>0.46818750000000003</v>
      </c>
      <c r="R100" s="166">
        <v>5.240074440918999</v>
      </c>
      <c r="S100" s="26"/>
      <c r="T100" s="167">
        <f t="shared" si="8"/>
        <v>4.4436494028704878</v>
      </c>
    </row>
    <row r="101" spans="5:20">
      <c r="E101" s="26">
        <f t="shared" si="6"/>
        <v>2025</v>
      </c>
      <c r="F101" s="26">
        <f t="shared" si="7"/>
        <v>3</v>
      </c>
      <c r="G101" s="165">
        <v>45717</v>
      </c>
      <c r="H101" s="26" t="s">
        <v>222</v>
      </c>
      <c r="I101" s="26"/>
      <c r="J101" s="166">
        <v>3.8215876568509239</v>
      </c>
      <c r="K101" s="166">
        <v>0.17129999999999992</v>
      </c>
      <c r="L101" s="166">
        <v>3.9928876568509239</v>
      </c>
      <c r="M101" s="166">
        <v>3.8215876568509239</v>
      </c>
      <c r="N101" s="166">
        <v>1.0058187458141103</v>
      </c>
      <c r="O101" s="166">
        <v>4.8274064026650345</v>
      </c>
      <c r="P101" s="166">
        <v>4.2608802609349672</v>
      </c>
      <c r="Q101" s="166">
        <v>0.46818750000000003</v>
      </c>
      <c r="R101" s="166">
        <v>4.7290677609349672</v>
      </c>
      <c r="S101" s="26"/>
      <c r="T101" s="167">
        <f t="shared" si="8"/>
        <v>3.9680185248789379</v>
      </c>
    </row>
    <row r="102" spans="5:20">
      <c r="E102" s="26">
        <f t="shared" si="6"/>
        <v>2025</v>
      </c>
      <c r="F102" s="26">
        <f t="shared" si="7"/>
        <v>4</v>
      </c>
      <c r="G102" s="165">
        <v>45748</v>
      </c>
      <c r="H102" s="26" t="s">
        <v>223</v>
      </c>
      <c r="I102" s="26"/>
      <c r="J102" s="166">
        <v>3.8154371087300287</v>
      </c>
      <c r="K102" s="166">
        <v>0.17129999999999992</v>
      </c>
      <c r="L102" s="166">
        <v>3.9867371087300287</v>
      </c>
      <c r="M102" s="166">
        <v>3.8154371087300287</v>
      </c>
      <c r="N102" s="166">
        <v>1.0058187458141103</v>
      </c>
      <c r="O102" s="166">
        <v>4.8212558545441393</v>
      </c>
      <c r="P102" s="166">
        <v>4.2536455915159195</v>
      </c>
      <c r="Q102" s="166">
        <v>0.46818750000000003</v>
      </c>
      <c r="R102" s="166">
        <v>4.7218330915159195</v>
      </c>
      <c r="S102" s="26"/>
      <c r="T102" s="167">
        <f t="shared" si="8"/>
        <v>3.9615066029919923</v>
      </c>
    </row>
    <row r="103" spans="5:20">
      <c r="E103" s="26">
        <f t="shared" si="6"/>
        <v>2025</v>
      </c>
      <c r="F103" s="26">
        <f t="shared" si="7"/>
        <v>5</v>
      </c>
      <c r="G103" s="165">
        <v>45778</v>
      </c>
      <c r="H103" s="26" t="s">
        <v>224</v>
      </c>
      <c r="I103" s="26"/>
      <c r="J103" s="166">
        <v>4.0132031454873873</v>
      </c>
      <c r="K103" s="166">
        <v>0.17129999999999992</v>
      </c>
      <c r="L103" s="166">
        <v>4.1845031454873869</v>
      </c>
      <c r="M103" s="166">
        <v>4.0132031454873873</v>
      </c>
      <c r="N103" s="166">
        <v>1.0058187458141103</v>
      </c>
      <c r="O103" s="166">
        <v>5.0190218913014979</v>
      </c>
      <c r="P103" s="166">
        <v>4.473728721758456</v>
      </c>
      <c r="Q103" s="166">
        <v>0.46818750000000003</v>
      </c>
      <c r="R103" s="166">
        <v>4.941916221758456</v>
      </c>
      <c r="S103" s="26"/>
      <c r="T103" s="167">
        <f t="shared" si="8"/>
        <v>4.1667116709110772</v>
      </c>
    </row>
    <row r="104" spans="5:20">
      <c r="E104" s="26">
        <f t="shared" si="6"/>
        <v>2025</v>
      </c>
      <c r="F104" s="26">
        <f t="shared" si="7"/>
        <v>6</v>
      </c>
      <c r="G104" s="165">
        <v>45809</v>
      </c>
      <c r="H104" s="26" t="s">
        <v>225</v>
      </c>
      <c r="I104" s="26"/>
      <c r="J104" s="166">
        <v>3.8938456038905831</v>
      </c>
      <c r="K104" s="166">
        <v>0.17129999999999992</v>
      </c>
      <c r="L104" s="166">
        <v>4.0651456038905831</v>
      </c>
      <c r="M104" s="166">
        <v>3.8938456038905831</v>
      </c>
      <c r="N104" s="166">
        <v>1.0058187458141103</v>
      </c>
      <c r="O104" s="166">
        <v>4.8996643497046932</v>
      </c>
      <c r="P104" s="166">
        <v>4.3336301581762164</v>
      </c>
      <c r="Q104" s="166">
        <v>0.46818750000000003</v>
      </c>
      <c r="R104" s="166">
        <v>4.8018176581762164</v>
      </c>
      <c r="S104" s="26"/>
      <c r="T104" s="167">
        <f t="shared" si="8"/>
        <v>4.0404404553191275</v>
      </c>
    </row>
    <row r="105" spans="5:20">
      <c r="E105" s="26">
        <f t="shared" si="6"/>
        <v>2025</v>
      </c>
      <c r="F105" s="26">
        <f t="shared" si="7"/>
        <v>7</v>
      </c>
      <c r="G105" s="165">
        <v>45839</v>
      </c>
      <c r="H105" s="26" t="s">
        <v>226</v>
      </c>
      <c r="I105" s="26"/>
      <c r="J105" s="166">
        <v>3.933451731890921</v>
      </c>
      <c r="K105" s="166">
        <v>0.17129999999999992</v>
      </c>
      <c r="L105" s="166">
        <v>4.1047517318909206</v>
      </c>
      <c r="M105" s="166">
        <v>3.933451731890921</v>
      </c>
      <c r="N105" s="166">
        <v>1.0058187458141103</v>
      </c>
      <c r="O105" s="166">
        <v>4.9392704777050316</v>
      </c>
      <c r="P105" s="166">
        <v>4.376204072908684</v>
      </c>
      <c r="Q105" s="166">
        <v>0.46818750000000003</v>
      </c>
      <c r="R105" s="166">
        <v>4.8443915729086839</v>
      </c>
      <c r="S105" s="26"/>
      <c r="T105" s="167">
        <f t="shared" si="8"/>
        <v>4.081035845563509</v>
      </c>
    </row>
    <row r="106" spans="5:20">
      <c r="E106" s="26">
        <f t="shared" si="6"/>
        <v>2025</v>
      </c>
      <c r="F106" s="26">
        <f t="shared" si="7"/>
        <v>8</v>
      </c>
      <c r="G106" s="165">
        <v>45870</v>
      </c>
      <c r="H106" s="26" t="s">
        <v>227</v>
      </c>
      <c r="I106" s="26"/>
      <c r="J106" s="166">
        <v>3.9643447355689796</v>
      </c>
      <c r="K106" s="166">
        <v>0.17129999999999992</v>
      </c>
      <c r="L106" s="166">
        <v>4.1356447355689792</v>
      </c>
      <c r="M106" s="166">
        <v>3.9643447355689796</v>
      </c>
      <c r="N106" s="166">
        <v>1.0058187458141103</v>
      </c>
      <c r="O106" s="166">
        <v>4.9701634813830902</v>
      </c>
      <c r="P106" s="166">
        <v>4.4090584333050042</v>
      </c>
      <c r="Q106" s="166">
        <v>0.46818750000000003</v>
      </c>
      <c r="R106" s="166">
        <v>4.8772459333050042</v>
      </c>
      <c r="S106" s="26"/>
      <c r="T106" s="167">
        <f t="shared" si="8"/>
        <v>4.1125826348143208</v>
      </c>
    </row>
    <row r="107" spans="5:20">
      <c r="E107" s="26">
        <f t="shared" si="6"/>
        <v>2025</v>
      </c>
      <c r="F107" s="26">
        <f t="shared" si="7"/>
        <v>9</v>
      </c>
      <c r="G107" s="165">
        <v>45901</v>
      </c>
      <c r="H107" s="26" t="s">
        <v>228</v>
      </c>
      <c r="I107" s="26"/>
      <c r="J107" s="166">
        <v>3.6127520999700371</v>
      </c>
      <c r="K107" s="166">
        <v>0.17129999999999992</v>
      </c>
      <c r="L107" s="166">
        <v>3.7840520999700371</v>
      </c>
      <c r="M107" s="166">
        <v>3.6127520999700371</v>
      </c>
      <c r="N107" s="166">
        <v>1.0058187458141103</v>
      </c>
      <c r="O107" s="166">
        <v>4.6185708457841477</v>
      </c>
      <c r="P107" s="166">
        <v>4.0166443698363894</v>
      </c>
      <c r="Q107" s="166">
        <v>0.46818750000000003</v>
      </c>
      <c r="R107" s="166">
        <v>4.4848318698363894</v>
      </c>
      <c r="S107" s="26"/>
      <c r="T107" s="167">
        <f t="shared" si="8"/>
        <v>3.747382856592155</v>
      </c>
    </row>
    <row r="108" spans="5:20">
      <c r="E108" s="26">
        <f t="shared" si="6"/>
        <v>2025</v>
      </c>
      <c r="F108" s="26">
        <f t="shared" si="7"/>
        <v>10</v>
      </c>
      <c r="G108" s="165">
        <v>45931</v>
      </c>
      <c r="H108" s="26" t="s">
        <v>229</v>
      </c>
      <c r="I108" s="26"/>
      <c r="J108" s="166">
        <v>3.6483069416899374</v>
      </c>
      <c r="K108" s="166">
        <v>0.17129999999999992</v>
      </c>
      <c r="L108" s="166">
        <v>3.8196069416899374</v>
      </c>
      <c r="M108" s="166">
        <v>3.6483069416899374</v>
      </c>
      <c r="N108" s="166">
        <v>1.0058187458141103</v>
      </c>
      <c r="O108" s="166">
        <v>4.654125687504048</v>
      </c>
      <c r="P108" s="166">
        <v>4.054781385185791</v>
      </c>
      <c r="Q108" s="166">
        <v>0.46818750000000003</v>
      </c>
      <c r="R108" s="166">
        <v>4.522968885185791</v>
      </c>
      <c r="S108" s="26"/>
      <c r="T108" s="167">
        <f t="shared" si="8"/>
        <v>3.7837984228552219</v>
      </c>
    </row>
    <row r="109" spans="5:20">
      <c r="E109" s="26">
        <f t="shared" si="6"/>
        <v>2025</v>
      </c>
      <c r="F109" s="26">
        <f t="shared" si="7"/>
        <v>11</v>
      </c>
      <c r="G109" s="165">
        <v>45962</v>
      </c>
      <c r="H109" s="26" t="s">
        <v>230</v>
      </c>
      <c r="I109" s="26"/>
      <c r="J109" s="166">
        <v>3.5811629656207207</v>
      </c>
      <c r="K109" s="166">
        <v>0.17129999999999992</v>
      </c>
      <c r="L109" s="166">
        <v>3.7524629656207207</v>
      </c>
      <c r="M109" s="166">
        <v>3.5811629656207207</v>
      </c>
      <c r="N109" s="166">
        <v>1.0058187458141103</v>
      </c>
      <c r="O109" s="166">
        <v>4.5869817114348308</v>
      </c>
      <c r="P109" s="166">
        <v>3.9787906774645232</v>
      </c>
      <c r="Q109" s="166">
        <v>0.46818750000000003</v>
      </c>
      <c r="R109" s="166">
        <v>4.4469781774645236</v>
      </c>
      <c r="S109" s="26"/>
      <c r="T109" s="167">
        <f t="shared" si="8"/>
        <v>3.7137055362353215</v>
      </c>
    </row>
    <row r="110" spans="5:20">
      <c r="E110" s="26">
        <f t="shared" si="6"/>
        <v>2025</v>
      </c>
      <c r="F110" s="26">
        <f t="shared" si="7"/>
        <v>12</v>
      </c>
      <c r="G110" s="165">
        <v>45992</v>
      </c>
      <c r="H110" s="26" t="s">
        <v>231</v>
      </c>
      <c r="I110" s="26"/>
      <c r="J110" s="166">
        <v>3.9591947623818071</v>
      </c>
      <c r="K110" s="166">
        <v>0.17129999999999992</v>
      </c>
      <c r="L110" s="166">
        <v>4.1304947623818071</v>
      </c>
      <c r="M110" s="166">
        <v>3.9591947623818071</v>
      </c>
      <c r="N110" s="166">
        <v>1.0058187458141103</v>
      </c>
      <c r="O110" s="166">
        <v>4.9650135081959172</v>
      </c>
      <c r="P110" s="166">
        <v>4.3972877214447665</v>
      </c>
      <c r="Q110" s="166">
        <v>0.46818750000000003</v>
      </c>
      <c r="R110" s="166">
        <v>4.8654752214447665</v>
      </c>
      <c r="S110" s="26"/>
      <c r="T110" s="167">
        <f t="shared" si="8"/>
        <v>4.1052257487361272</v>
      </c>
    </row>
    <row r="111" spans="5:20">
      <c r="E111" s="26">
        <f t="shared" si="6"/>
        <v>2026</v>
      </c>
      <c r="F111" s="26">
        <f t="shared" si="7"/>
        <v>1</v>
      </c>
      <c r="G111" s="165">
        <v>46023</v>
      </c>
      <c r="H111" s="26" t="s">
        <v>232</v>
      </c>
      <c r="I111" s="26"/>
      <c r="J111" s="166">
        <v>4.2992289871957166</v>
      </c>
      <c r="K111" s="166">
        <v>0.17129999999999992</v>
      </c>
      <c r="L111" s="166">
        <v>4.4705289871957161</v>
      </c>
      <c r="M111" s="166">
        <v>4.2992289871957166</v>
      </c>
      <c r="N111" s="166">
        <v>1.0058187458141103</v>
      </c>
      <c r="O111" s="166">
        <v>5.3050477330098271</v>
      </c>
      <c r="P111" s="166">
        <v>4.7714746445886629</v>
      </c>
      <c r="Q111" s="166">
        <v>0.46818750000000003</v>
      </c>
      <c r="R111" s="166">
        <v>5.2396621445886629</v>
      </c>
      <c r="S111" s="26"/>
      <c r="T111" s="167">
        <f t="shared" si="8"/>
        <v>4.4566442063266987</v>
      </c>
    </row>
    <row r="112" spans="5:20">
      <c r="E112" s="26">
        <f t="shared" si="6"/>
        <v>2026</v>
      </c>
      <c r="F112" s="26">
        <f t="shared" si="7"/>
        <v>2</v>
      </c>
      <c r="G112" s="165">
        <v>46054</v>
      </c>
      <c r="H112" s="26" t="s">
        <v>233</v>
      </c>
      <c r="I112" s="26"/>
      <c r="J112" s="166">
        <v>4.3887342264545115</v>
      </c>
      <c r="K112" s="166">
        <v>0.17129999999999992</v>
      </c>
      <c r="L112" s="166">
        <v>4.5600342264545111</v>
      </c>
      <c r="M112" s="166">
        <v>4.3887342264545115</v>
      </c>
      <c r="N112" s="166">
        <v>1.0058187458141103</v>
      </c>
      <c r="O112" s="166">
        <v>5.3945529722686221</v>
      </c>
      <c r="P112" s="166">
        <v>4.8691745336116217</v>
      </c>
      <c r="Q112" s="166">
        <v>0.46818750000000003</v>
      </c>
      <c r="R112" s="166">
        <v>5.3373620336116216</v>
      </c>
      <c r="S112" s="26"/>
      <c r="T112" s="167">
        <f t="shared" si="8"/>
        <v>4.5488809955068819</v>
      </c>
    </row>
    <row r="113" spans="5:20">
      <c r="E113" s="26">
        <f t="shared" si="6"/>
        <v>2026</v>
      </c>
      <c r="F113" s="26">
        <f t="shared" si="7"/>
        <v>3</v>
      </c>
      <c r="G113" s="165">
        <v>46082</v>
      </c>
      <c r="H113" s="26" t="s">
        <v>234</v>
      </c>
      <c r="I113" s="26"/>
      <c r="J113" s="166">
        <v>3.9205685955440832</v>
      </c>
      <c r="K113" s="166">
        <v>0.17129999999999992</v>
      </c>
      <c r="L113" s="166">
        <v>4.0918685955440832</v>
      </c>
      <c r="M113" s="166">
        <v>3.9205685955440832</v>
      </c>
      <c r="N113" s="166">
        <v>1.0058187458141103</v>
      </c>
      <c r="O113" s="166">
        <v>4.9263873413581933</v>
      </c>
      <c r="P113" s="166">
        <v>4.3482970870676896</v>
      </c>
      <c r="Q113" s="166">
        <v>0.46818750000000003</v>
      </c>
      <c r="R113" s="166">
        <v>4.8164845870676896</v>
      </c>
      <c r="S113" s="26"/>
      <c r="T113" s="167">
        <f t="shared" si="8"/>
        <v>4.0631447593852856</v>
      </c>
    </row>
    <row r="114" spans="5:20">
      <c r="E114" s="26">
        <f t="shared" si="6"/>
        <v>2026</v>
      </c>
      <c r="F114" s="26">
        <f t="shared" si="7"/>
        <v>4</v>
      </c>
      <c r="G114" s="165">
        <v>46113</v>
      </c>
      <c r="H114" s="26" t="s">
        <v>235</v>
      </c>
      <c r="I114" s="26"/>
      <c r="J114" s="166">
        <v>3.9157192266435432</v>
      </c>
      <c r="K114" s="166">
        <v>0.17129999999999992</v>
      </c>
      <c r="L114" s="166">
        <v>4.0870192266435428</v>
      </c>
      <c r="M114" s="166">
        <v>3.9157192266435432</v>
      </c>
      <c r="N114" s="166">
        <v>1.0058187458141103</v>
      </c>
      <c r="O114" s="166">
        <v>4.9215379724576538</v>
      </c>
      <c r="P114" s="166">
        <v>4.3414605666413717</v>
      </c>
      <c r="Q114" s="166">
        <v>0.46818750000000003</v>
      </c>
      <c r="R114" s="166">
        <v>4.8096480666413717</v>
      </c>
      <c r="S114" s="26"/>
      <c r="T114" s="167">
        <f t="shared" si="8"/>
        <v>4.0576330066428197</v>
      </c>
    </row>
    <row r="115" spans="5:20">
      <c r="E115" s="26">
        <f t="shared" si="6"/>
        <v>2026</v>
      </c>
      <c r="F115" s="26">
        <f t="shared" si="7"/>
        <v>5</v>
      </c>
      <c r="G115" s="165">
        <v>46143</v>
      </c>
      <c r="H115" s="26" t="s">
        <v>236</v>
      </c>
      <c r="I115" s="26"/>
      <c r="J115" s="166">
        <v>4.1202192327335103</v>
      </c>
      <c r="K115" s="166">
        <v>0.17129999999999992</v>
      </c>
      <c r="L115" s="166">
        <v>4.2915192327335099</v>
      </c>
      <c r="M115" s="166">
        <v>4.1202192327335103</v>
      </c>
      <c r="N115" s="166">
        <v>1.0058187458141103</v>
      </c>
      <c r="O115" s="166">
        <v>5.1260379785476209</v>
      </c>
      <c r="P115" s="166">
        <v>4.5666621359629875</v>
      </c>
      <c r="Q115" s="166">
        <v>0.46818750000000003</v>
      </c>
      <c r="R115" s="166">
        <v>5.0348496359629875</v>
      </c>
      <c r="S115" s="26"/>
      <c r="T115" s="167">
        <f t="shared" si="8"/>
        <v>4.2690335338100027</v>
      </c>
    </row>
    <row r="116" spans="5:20">
      <c r="E116" s="26">
        <f t="shared" si="6"/>
        <v>2026</v>
      </c>
      <c r="F116" s="26">
        <f t="shared" si="7"/>
        <v>6</v>
      </c>
      <c r="G116" s="165">
        <v>46174</v>
      </c>
      <c r="H116" s="26" t="s">
        <v>237</v>
      </c>
      <c r="I116" s="26"/>
      <c r="J116" s="166">
        <v>3.9912699970755625</v>
      </c>
      <c r="K116" s="166">
        <v>0.17129999999999992</v>
      </c>
      <c r="L116" s="166">
        <v>4.1625699970755621</v>
      </c>
      <c r="M116" s="166">
        <v>3.9912699970755625</v>
      </c>
      <c r="N116" s="166">
        <v>1.0058187458141103</v>
      </c>
      <c r="O116" s="166">
        <v>4.9970887428896731</v>
      </c>
      <c r="P116" s="166">
        <v>4.423142126934942</v>
      </c>
      <c r="Q116" s="166">
        <v>0.46818750000000003</v>
      </c>
      <c r="R116" s="166">
        <v>4.891329626934942</v>
      </c>
      <c r="S116" s="26"/>
      <c r="T116" s="167">
        <f t="shared" si="8"/>
        <v>4.1352273736953551</v>
      </c>
    </row>
    <row r="117" spans="5:20">
      <c r="E117" s="26">
        <f t="shared" si="6"/>
        <v>2026</v>
      </c>
      <c r="F117" s="26">
        <f t="shared" si="7"/>
        <v>7</v>
      </c>
      <c r="G117" s="165">
        <v>46204</v>
      </c>
      <c r="H117" s="26" t="s">
        <v>238</v>
      </c>
      <c r="I117" s="26"/>
      <c r="J117" s="166">
        <v>4.0320423622830699</v>
      </c>
      <c r="K117" s="166">
        <v>0.17129999999999992</v>
      </c>
      <c r="L117" s="166">
        <v>4.2033423622830695</v>
      </c>
      <c r="M117" s="166">
        <v>4.0320423622830699</v>
      </c>
      <c r="N117" s="166">
        <v>1.0058187458141103</v>
      </c>
      <c r="O117" s="166">
        <v>5.0378611080971805</v>
      </c>
      <c r="P117" s="166">
        <v>4.4669777163419928</v>
      </c>
      <c r="Q117" s="166">
        <v>0.46818750000000003</v>
      </c>
      <c r="R117" s="166">
        <v>4.9351652163419928</v>
      </c>
      <c r="S117" s="26"/>
      <c r="T117" s="167">
        <f t="shared" si="8"/>
        <v>4.1770208136360445</v>
      </c>
    </row>
    <row r="118" spans="5:20">
      <c r="E118" s="26">
        <f t="shared" si="6"/>
        <v>2026</v>
      </c>
      <c r="F118" s="26">
        <f t="shared" si="7"/>
        <v>8</v>
      </c>
      <c r="G118" s="165">
        <v>46235</v>
      </c>
      <c r="H118" s="26" t="s">
        <v>239</v>
      </c>
      <c r="I118" s="26"/>
      <c r="J118" s="166">
        <v>4.0638862010100407</v>
      </c>
      <c r="K118" s="166">
        <v>0.17129999999999992</v>
      </c>
      <c r="L118" s="166">
        <v>4.2351862010100403</v>
      </c>
      <c r="M118" s="166">
        <v>4.0638862010100407</v>
      </c>
      <c r="N118" s="166">
        <v>1.0058187458141103</v>
      </c>
      <c r="O118" s="166">
        <v>5.0697049468241513</v>
      </c>
      <c r="P118" s="166">
        <v>4.5008986650226745</v>
      </c>
      <c r="Q118" s="166">
        <v>0.46818750000000003</v>
      </c>
      <c r="R118" s="166">
        <v>4.9690861650226745</v>
      </c>
      <c r="S118" s="26"/>
      <c r="T118" s="167">
        <f t="shared" si="8"/>
        <v>4.2095570223475853</v>
      </c>
    </row>
    <row r="119" spans="5:20">
      <c r="E119" s="26">
        <f t="shared" si="6"/>
        <v>2026</v>
      </c>
      <c r="F119" s="26">
        <f t="shared" si="7"/>
        <v>9</v>
      </c>
      <c r="G119" s="165">
        <v>46266</v>
      </c>
      <c r="H119" s="26" t="s">
        <v>240</v>
      </c>
      <c r="I119" s="26"/>
      <c r="J119" s="166">
        <v>3.7036260799771172</v>
      </c>
      <c r="K119" s="166">
        <v>0.17129999999999992</v>
      </c>
      <c r="L119" s="166">
        <v>3.8749260799771172</v>
      </c>
      <c r="M119" s="166">
        <v>3.7036260799771172</v>
      </c>
      <c r="N119" s="166">
        <v>1.0058187458141103</v>
      </c>
      <c r="O119" s="166">
        <v>4.7094448257912278</v>
      </c>
      <c r="P119" s="166">
        <v>4.1006614257288776</v>
      </c>
      <c r="Q119" s="166">
        <v>0.46818750000000003</v>
      </c>
      <c r="R119" s="166">
        <v>4.5688489257288776</v>
      </c>
      <c r="S119" s="26"/>
      <c r="T119" s="167">
        <f t="shared" si="8"/>
        <v>3.8359711952277045</v>
      </c>
    </row>
    <row r="120" spans="5:20">
      <c r="E120" s="26">
        <f t="shared" si="6"/>
        <v>2026</v>
      </c>
      <c r="F120" s="26">
        <f t="shared" si="7"/>
        <v>10</v>
      </c>
      <c r="G120" s="165">
        <v>46296</v>
      </c>
      <c r="H120" s="26" t="s">
        <v>241</v>
      </c>
      <c r="I120" s="26"/>
      <c r="J120" s="166">
        <v>3.740237417494503</v>
      </c>
      <c r="K120" s="166">
        <v>0.17129999999999992</v>
      </c>
      <c r="L120" s="166">
        <v>3.911537417494503</v>
      </c>
      <c r="M120" s="166">
        <v>3.740237417494503</v>
      </c>
      <c r="N120" s="166">
        <v>1.0058187458141103</v>
      </c>
      <c r="O120" s="166">
        <v>4.7460561633086131</v>
      </c>
      <c r="P120" s="166">
        <v>4.1399501987277105</v>
      </c>
      <c r="Q120" s="166">
        <v>0.46818750000000003</v>
      </c>
      <c r="R120" s="166">
        <v>4.6081376987277105</v>
      </c>
      <c r="S120" s="26"/>
      <c r="T120" s="167">
        <f t="shared" si="8"/>
        <v>3.8734750112389058</v>
      </c>
    </row>
    <row r="121" spans="5:20">
      <c r="E121" s="26">
        <f t="shared" si="6"/>
        <v>2026</v>
      </c>
      <c r="F121" s="26">
        <f t="shared" si="7"/>
        <v>11</v>
      </c>
      <c r="G121" s="165">
        <v>46327</v>
      </c>
      <c r="H121" s="26" t="s">
        <v>242</v>
      </c>
      <c r="I121" s="26"/>
      <c r="J121" s="166">
        <v>3.6715605789301957</v>
      </c>
      <c r="K121" s="166">
        <v>0.17129999999999992</v>
      </c>
      <c r="L121" s="166">
        <v>3.8428605789301957</v>
      </c>
      <c r="M121" s="166">
        <v>3.6715605789301957</v>
      </c>
      <c r="N121" s="166">
        <v>1.0058187458141103</v>
      </c>
      <c r="O121" s="166">
        <v>4.6773793247443063</v>
      </c>
      <c r="P121" s="166">
        <v>4.0627106825514652</v>
      </c>
      <c r="Q121" s="166">
        <v>0.46818750000000003</v>
      </c>
      <c r="R121" s="166">
        <v>4.5308981825514651</v>
      </c>
      <c r="S121" s="26"/>
      <c r="T121" s="167">
        <f t="shared" si="8"/>
        <v>3.8019439468039522</v>
      </c>
    </row>
    <row r="122" spans="5:20">
      <c r="E122" s="26">
        <f t="shared" si="6"/>
        <v>2026</v>
      </c>
      <c r="F122" s="26">
        <f t="shared" si="7"/>
        <v>12</v>
      </c>
      <c r="G122" s="165">
        <v>46357</v>
      </c>
      <c r="H122" s="26" t="s">
        <v>243</v>
      </c>
      <c r="I122" s="26"/>
      <c r="J122" s="166">
        <v>4.0593105311323994</v>
      </c>
      <c r="K122" s="166">
        <v>0.17129999999999992</v>
      </c>
      <c r="L122" s="166">
        <v>4.2306105311323989</v>
      </c>
      <c r="M122" s="166">
        <v>4.0593105311323994</v>
      </c>
      <c r="N122" s="166">
        <v>1.0058187458141103</v>
      </c>
      <c r="O122" s="166">
        <v>5.0651292769465099</v>
      </c>
      <c r="P122" s="166">
        <v>4.4904184062727346</v>
      </c>
      <c r="Q122" s="166">
        <v>0.46818750000000003</v>
      </c>
      <c r="R122" s="166">
        <v>4.9586059062727346</v>
      </c>
      <c r="S122" s="26"/>
      <c r="T122" s="167">
        <f t="shared" si="8"/>
        <v>4.2030131561791775</v>
      </c>
    </row>
    <row r="123" spans="5:20">
      <c r="E123" s="26">
        <f t="shared" si="6"/>
        <v>2027</v>
      </c>
      <c r="F123" s="26">
        <f t="shared" si="7"/>
        <v>1</v>
      </c>
      <c r="G123" s="165">
        <v>46388</v>
      </c>
      <c r="H123" s="26" t="s">
        <v>244</v>
      </c>
      <c r="I123" s="26"/>
      <c r="J123" s="166">
        <v>4.4095153624952381</v>
      </c>
      <c r="K123" s="166">
        <v>0.17129999999999992</v>
      </c>
      <c r="L123" s="166">
        <v>4.5808153624952377</v>
      </c>
      <c r="M123" s="166">
        <v>4.4095153624952381</v>
      </c>
      <c r="N123" s="166">
        <v>1.0058187458141103</v>
      </c>
      <c r="O123" s="166">
        <v>5.4153341083093487</v>
      </c>
      <c r="P123" s="166">
        <v>4.8743405156670168</v>
      </c>
      <c r="Q123" s="166">
        <v>0.46818750000000003</v>
      </c>
      <c r="R123" s="166">
        <v>5.3425280156670167</v>
      </c>
      <c r="S123" s="26"/>
      <c r="T123" s="167">
        <f t="shared" si="8"/>
        <v>4.5644570802191646</v>
      </c>
    </row>
    <row r="124" spans="5:20">
      <c r="E124" s="26">
        <f t="shared" si="6"/>
        <v>2027</v>
      </c>
      <c r="F124" s="26">
        <f t="shared" si="7"/>
        <v>2</v>
      </c>
      <c r="G124" s="165">
        <v>46419</v>
      </c>
      <c r="H124" s="26" t="s">
        <v>245</v>
      </c>
      <c r="I124" s="26"/>
      <c r="J124" s="166">
        <v>4.501506741851105</v>
      </c>
      <c r="K124" s="166">
        <v>0.17129999999999992</v>
      </c>
      <c r="L124" s="166">
        <v>4.6728067418511046</v>
      </c>
      <c r="M124" s="166">
        <v>4.501506741851105</v>
      </c>
      <c r="N124" s="166">
        <v>1.0058187458141103</v>
      </c>
      <c r="O124" s="166">
        <v>5.5073254876652156</v>
      </c>
      <c r="P124" s="166">
        <v>4.9745634488376798</v>
      </c>
      <c r="Q124" s="166">
        <v>0.46818750000000003</v>
      </c>
      <c r="R124" s="166">
        <v>5.4427509488376797</v>
      </c>
      <c r="S124" s="26"/>
      <c r="T124" s="167">
        <f t="shared" si="8"/>
        <v>4.6591923108466302</v>
      </c>
    </row>
    <row r="125" spans="5:20">
      <c r="E125" s="26">
        <f t="shared" si="6"/>
        <v>2027</v>
      </c>
      <c r="F125" s="26">
        <f t="shared" si="7"/>
        <v>3</v>
      </c>
      <c r="G125" s="165">
        <v>46447</v>
      </c>
      <c r="H125" s="26" t="s">
        <v>246</v>
      </c>
      <c r="I125" s="26"/>
      <c r="J125" s="166">
        <v>4.0214808461596707</v>
      </c>
      <c r="K125" s="166">
        <v>0.17129999999999992</v>
      </c>
      <c r="L125" s="166">
        <v>4.1927808461596703</v>
      </c>
      <c r="M125" s="166">
        <v>4.0214808461596707</v>
      </c>
      <c r="N125" s="166">
        <v>1.0058187458141103</v>
      </c>
      <c r="O125" s="166">
        <v>5.0272995919737813</v>
      </c>
      <c r="P125" s="166">
        <v>4.4427842088292211</v>
      </c>
      <c r="Q125" s="166">
        <v>0.46818750000000003</v>
      </c>
      <c r="R125" s="166">
        <v>4.9109717088292211</v>
      </c>
      <c r="S125" s="26"/>
      <c r="T125" s="167">
        <f t="shared" si="8"/>
        <v>4.1619153003828542</v>
      </c>
    </row>
    <row r="126" spans="5:20">
      <c r="E126" s="26">
        <f t="shared" si="6"/>
        <v>2027</v>
      </c>
      <c r="F126" s="26">
        <f t="shared" si="7"/>
        <v>4</v>
      </c>
      <c r="G126" s="165">
        <v>46478</v>
      </c>
      <c r="H126" s="26" t="s">
        <v>247</v>
      </c>
      <c r="I126" s="26"/>
      <c r="J126" s="166">
        <v>4.016675982389259</v>
      </c>
      <c r="K126" s="166">
        <v>0.17129999999999992</v>
      </c>
      <c r="L126" s="166">
        <v>4.1879759823892586</v>
      </c>
      <c r="M126" s="166">
        <v>4.016675982389259</v>
      </c>
      <c r="N126" s="166">
        <v>1.0058187458141103</v>
      </c>
      <c r="O126" s="166">
        <v>5.0224947282033696</v>
      </c>
      <c r="P126" s="166">
        <v>4.436170615804965</v>
      </c>
      <c r="Q126" s="166">
        <v>0.46818750000000003</v>
      </c>
      <c r="R126" s="166">
        <v>4.9043581158049649</v>
      </c>
      <c r="S126" s="26"/>
      <c r="T126" s="167">
        <f t="shared" si="8"/>
        <v>4.1565075268611613</v>
      </c>
    </row>
    <row r="127" spans="5:20">
      <c r="E127" s="26">
        <f t="shared" si="6"/>
        <v>2027</v>
      </c>
      <c r="F127" s="26">
        <f t="shared" si="7"/>
        <v>5</v>
      </c>
      <c r="G127" s="165">
        <v>46508</v>
      </c>
      <c r="H127" s="26" t="s">
        <v>248</v>
      </c>
      <c r="I127" s="26"/>
      <c r="J127" s="166">
        <v>4.2266265123418814</v>
      </c>
      <c r="K127" s="166">
        <v>0.17129999999999992</v>
      </c>
      <c r="L127" s="166">
        <v>4.3979265123418809</v>
      </c>
      <c r="M127" s="166">
        <v>4.2266265123418814</v>
      </c>
      <c r="N127" s="166">
        <v>1.0058187458141103</v>
      </c>
      <c r="O127" s="166">
        <v>5.2324452581559919</v>
      </c>
      <c r="P127" s="166">
        <v>4.6666756992119867</v>
      </c>
      <c r="Q127" s="166">
        <v>0.46818750000000003</v>
      </c>
      <c r="R127" s="166">
        <v>5.1348631992119866</v>
      </c>
      <c r="S127" s="26"/>
      <c r="T127" s="167">
        <f t="shared" si="8"/>
        <v>4.3733095746319171</v>
      </c>
    </row>
    <row r="128" spans="5:20">
      <c r="E128" s="26">
        <f t="shared" si="6"/>
        <v>2027</v>
      </c>
      <c r="F128" s="26">
        <f t="shared" si="7"/>
        <v>6</v>
      </c>
      <c r="G128" s="165">
        <v>46539</v>
      </c>
      <c r="H128" s="26" t="s">
        <v>249</v>
      </c>
      <c r="I128" s="26"/>
      <c r="J128" s="166">
        <v>4.0940451836987055</v>
      </c>
      <c r="K128" s="166">
        <v>0.17129999999999992</v>
      </c>
      <c r="L128" s="166">
        <v>4.2653451836987051</v>
      </c>
      <c r="M128" s="166">
        <v>4.0940451836987055</v>
      </c>
      <c r="N128" s="166">
        <v>1.0058187458141103</v>
      </c>
      <c r="O128" s="166">
        <v>5.0998639295128161</v>
      </c>
      <c r="P128" s="166">
        <v>4.5225006942257995</v>
      </c>
      <c r="Q128" s="166">
        <v>0.46818750000000003</v>
      </c>
      <c r="R128" s="166">
        <v>4.9906881942257995</v>
      </c>
      <c r="S128" s="26"/>
      <c r="T128" s="167">
        <f t="shared" si="8"/>
        <v>4.2368636872077365</v>
      </c>
    </row>
    <row r="129" spans="5:20">
      <c r="E129" s="26">
        <f t="shared" si="6"/>
        <v>2027</v>
      </c>
      <c r="F129" s="26">
        <f t="shared" si="7"/>
        <v>7</v>
      </c>
      <c r="G129" s="165">
        <v>46569</v>
      </c>
      <c r="H129" s="26" t="s">
        <v>250</v>
      </c>
      <c r="I129" s="26"/>
      <c r="J129" s="166">
        <v>4.1359617103462218</v>
      </c>
      <c r="K129" s="166">
        <v>0.17129999999999992</v>
      </c>
      <c r="L129" s="166">
        <v>4.3072617103462214</v>
      </c>
      <c r="M129" s="166">
        <v>4.1359617103462218</v>
      </c>
      <c r="N129" s="166">
        <v>1.0058187458141103</v>
      </c>
      <c r="O129" s="166">
        <v>5.1417804561603324</v>
      </c>
      <c r="P129" s="166">
        <v>4.5680574691721851</v>
      </c>
      <c r="Q129" s="166">
        <v>0.46818750000000003</v>
      </c>
      <c r="R129" s="166">
        <v>5.0362449691721851</v>
      </c>
      <c r="S129" s="26"/>
      <c r="T129" s="167">
        <f t="shared" si="8"/>
        <v>4.279993629954876</v>
      </c>
    </row>
    <row r="130" spans="5:20">
      <c r="E130" s="26">
        <f t="shared" si="6"/>
        <v>2027</v>
      </c>
      <c r="F130" s="26">
        <f t="shared" si="7"/>
        <v>8</v>
      </c>
      <c r="G130" s="165">
        <v>46600</v>
      </c>
      <c r="H130" s="26" t="s">
        <v>251</v>
      </c>
      <c r="I130" s="26"/>
      <c r="J130" s="166">
        <v>4.1687211998872042</v>
      </c>
      <c r="K130" s="166">
        <v>0.17129999999999992</v>
      </c>
      <c r="L130" s="166">
        <v>4.3400211998872038</v>
      </c>
      <c r="M130" s="166">
        <v>4.1687211998872042</v>
      </c>
      <c r="N130" s="166">
        <v>1.0058187458141103</v>
      </c>
      <c r="O130" s="166">
        <v>5.1745399457013148</v>
      </c>
      <c r="P130" s="166">
        <v>4.6034878160051464</v>
      </c>
      <c r="Q130" s="166">
        <v>0.46818750000000003</v>
      </c>
      <c r="R130" s="166">
        <v>5.0716753160051464</v>
      </c>
      <c r="S130" s="26"/>
      <c r="T130" s="167">
        <f t="shared" si="8"/>
        <v>4.3136434052598522</v>
      </c>
    </row>
    <row r="131" spans="5:20">
      <c r="E131" s="26">
        <f t="shared" si="6"/>
        <v>2027</v>
      </c>
      <c r="F131" s="26">
        <f t="shared" si="7"/>
        <v>9</v>
      </c>
      <c r="G131" s="165">
        <v>46631</v>
      </c>
      <c r="H131" s="26" t="s">
        <v>252</v>
      </c>
      <c r="I131" s="26"/>
      <c r="J131" s="166">
        <v>3.7992539739017501</v>
      </c>
      <c r="K131" s="166">
        <v>0.17129999999999992</v>
      </c>
      <c r="L131" s="166">
        <v>3.9705539739017501</v>
      </c>
      <c r="M131" s="166">
        <v>3.7992539739017501</v>
      </c>
      <c r="N131" s="166">
        <v>1.0058187458141103</v>
      </c>
      <c r="O131" s="166">
        <v>4.8050727197158603</v>
      </c>
      <c r="P131" s="166">
        <v>4.1948035818758704</v>
      </c>
      <c r="Q131" s="166">
        <v>0.46818750000000003</v>
      </c>
      <c r="R131" s="166">
        <v>4.6629910818758704</v>
      </c>
      <c r="S131" s="26"/>
      <c r="T131" s="167">
        <f t="shared" si="8"/>
        <v>3.9311038432264573</v>
      </c>
    </row>
    <row r="132" spans="5:20">
      <c r="E132" s="26">
        <f t="shared" ref="E132:E195" si="9">YEAR(G132)</f>
        <v>2027</v>
      </c>
      <c r="F132" s="26">
        <f t="shared" ref="F132:F195" si="10">MONTH(G132)</f>
        <v>10</v>
      </c>
      <c r="G132" s="165">
        <v>46661</v>
      </c>
      <c r="H132" s="26" t="s">
        <v>253</v>
      </c>
      <c r="I132" s="26"/>
      <c r="J132" s="166">
        <v>3.8368978206558877</v>
      </c>
      <c r="K132" s="166">
        <v>0.17129999999999992</v>
      </c>
      <c r="L132" s="166">
        <v>4.0081978206558873</v>
      </c>
      <c r="M132" s="166">
        <v>3.8368978206558877</v>
      </c>
      <c r="N132" s="166">
        <v>1.0058187458141103</v>
      </c>
      <c r="O132" s="166">
        <v>4.8427165664699983</v>
      </c>
      <c r="P132" s="166">
        <v>4.235676203334199</v>
      </c>
      <c r="Q132" s="166">
        <v>0.46818750000000003</v>
      </c>
      <c r="R132" s="166">
        <v>4.703863703334199</v>
      </c>
      <c r="S132" s="26"/>
      <c r="T132" s="167">
        <f t="shared" ref="T132:T195" si="11">AVERAGE(J132,M132,P132)</f>
        <v>3.9698239482153248</v>
      </c>
    </row>
    <row r="133" spans="5:20">
      <c r="E133" s="26">
        <f t="shared" si="9"/>
        <v>2027</v>
      </c>
      <c r="F133" s="26">
        <f t="shared" si="10"/>
        <v>11</v>
      </c>
      <c r="G133" s="165">
        <v>46692</v>
      </c>
      <c r="H133" s="26" t="s">
        <v>254</v>
      </c>
      <c r="I133" s="26"/>
      <c r="J133" s="166">
        <v>3.7665316595198641</v>
      </c>
      <c r="K133" s="166">
        <v>0.17129999999999992</v>
      </c>
      <c r="L133" s="166">
        <v>3.9378316595198641</v>
      </c>
      <c r="M133" s="166">
        <v>3.7665316595198641</v>
      </c>
      <c r="N133" s="166">
        <v>1.0058187458141103</v>
      </c>
      <c r="O133" s="166">
        <v>4.7723504053339747</v>
      </c>
      <c r="P133" s="166">
        <v>4.1573196280114004</v>
      </c>
      <c r="Q133" s="166">
        <v>0.46818750000000003</v>
      </c>
      <c r="R133" s="166">
        <v>4.6255071280114004</v>
      </c>
      <c r="S133" s="26"/>
      <c r="T133" s="167">
        <f t="shared" si="11"/>
        <v>3.8967943156837097</v>
      </c>
    </row>
    <row r="134" spans="5:20">
      <c r="E134" s="26">
        <f t="shared" si="9"/>
        <v>2027</v>
      </c>
      <c r="F134" s="26">
        <f t="shared" si="10"/>
        <v>12</v>
      </c>
      <c r="G134" s="165">
        <v>46722</v>
      </c>
      <c r="H134" s="26" t="s">
        <v>255</v>
      </c>
      <c r="I134" s="26"/>
      <c r="J134" s="166">
        <v>4.1644058770541017</v>
      </c>
      <c r="K134" s="166">
        <v>0.17129999999999992</v>
      </c>
      <c r="L134" s="166">
        <v>4.3357058770541013</v>
      </c>
      <c r="M134" s="166">
        <v>4.1644058770541017</v>
      </c>
      <c r="N134" s="166">
        <v>1.0058187458141103</v>
      </c>
      <c r="O134" s="166">
        <v>5.1702246228682123</v>
      </c>
      <c r="P134" s="166">
        <v>4.5957265214968785</v>
      </c>
      <c r="Q134" s="166">
        <v>0.46818750000000003</v>
      </c>
      <c r="R134" s="166">
        <v>5.0639140214968785</v>
      </c>
      <c r="S134" s="26"/>
      <c r="T134" s="167">
        <f t="shared" si="11"/>
        <v>4.3081794252016943</v>
      </c>
    </row>
    <row r="135" spans="5:20">
      <c r="E135" s="26">
        <f t="shared" si="9"/>
        <v>2028</v>
      </c>
      <c r="F135" s="26">
        <f t="shared" si="10"/>
        <v>1</v>
      </c>
      <c r="G135" s="165">
        <v>46753</v>
      </c>
      <c r="H135" s="26" t="s">
        <v>256</v>
      </c>
      <c r="I135" s="26"/>
      <c r="J135" s="166">
        <v>4.5244079737788461</v>
      </c>
      <c r="K135" s="166">
        <v>0.17129999999999992</v>
      </c>
      <c r="L135" s="166">
        <v>4.6957079737788456</v>
      </c>
      <c r="M135" s="166">
        <v>4.5244079737788461</v>
      </c>
      <c r="N135" s="166">
        <v>1.0058187458141103</v>
      </c>
      <c r="O135" s="166">
        <v>5.5302267195929566</v>
      </c>
      <c r="P135" s="166">
        <v>4.990884241495432</v>
      </c>
      <c r="Q135" s="166">
        <v>0.46818750000000003</v>
      </c>
      <c r="R135" s="166">
        <v>5.459071741495432</v>
      </c>
      <c r="S135" s="26"/>
      <c r="T135" s="167">
        <f t="shared" si="11"/>
        <v>4.6799000630177083</v>
      </c>
    </row>
    <row r="136" spans="5:20">
      <c r="E136" s="26">
        <f t="shared" si="9"/>
        <v>2028</v>
      </c>
      <c r="F136" s="26">
        <f t="shared" si="10"/>
        <v>2</v>
      </c>
      <c r="G136" s="165">
        <v>46784</v>
      </c>
      <c r="H136" s="26" t="s">
        <v>257</v>
      </c>
      <c r="I136" s="26"/>
      <c r="J136" s="166">
        <v>4.618898474527799</v>
      </c>
      <c r="K136" s="166">
        <v>0.17129999999999992</v>
      </c>
      <c r="L136" s="166">
        <v>4.7901984745277986</v>
      </c>
      <c r="M136" s="166">
        <v>4.618898474527799</v>
      </c>
      <c r="N136" s="166">
        <v>1.0058187458141103</v>
      </c>
      <c r="O136" s="166">
        <v>5.6247172203419096</v>
      </c>
      <c r="P136" s="166">
        <v>5.0943058883369483</v>
      </c>
      <c r="Q136" s="166">
        <v>0.46818750000000003</v>
      </c>
      <c r="R136" s="166">
        <v>5.5624933883369483</v>
      </c>
      <c r="S136" s="26"/>
      <c r="T136" s="167">
        <f t="shared" si="11"/>
        <v>4.7773676124641824</v>
      </c>
    </row>
    <row r="137" spans="5:20">
      <c r="E137" s="26">
        <f t="shared" si="9"/>
        <v>2028</v>
      </c>
      <c r="F137" s="26">
        <f t="shared" si="10"/>
        <v>3</v>
      </c>
      <c r="G137" s="165">
        <v>46813</v>
      </c>
      <c r="H137" s="26" t="s">
        <v>258</v>
      </c>
      <c r="I137" s="26"/>
      <c r="J137" s="166">
        <v>4.1264455537157607</v>
      </c>
      <c r="K137" s="166">
        <v>0.17129999999999992</v>
      </c>
      <c r="L137" s="166">
        <v>4.2977455537157603</v>
      </c>
      <c r="M137" s="166">
        <v>4.1264455537157607</v>
      </c>
      <c r="N137" s="166">
        <v>1.0058187458141103</v>
      </c>
      <c r="O137" s="166">
        <v>5.1322642995298713</v>
      </c>
      <c r="P137" s="166">
        <v>4.5504426179449116</v>
      </c>
      <c r="Q137" s="166">
        <v>0.46818750000000003</v>
      </c>
      <c r="R137" s="166">
        <v>5.0186301179449115</v>
      </c>
      <c r="S137" s="26"/>
      <c r="T137" s="167">
        <f t="shared" si="11"/>
        <v>4.267777908458811</v>
      </c>
    </row>
    <row r="138" spans="5:20">
      <c r="E138" s="26">
        <f t="shared" si="9"/>
        <v>2028</v>
      </c>
      <c r="F138" s="26">
        <f t="shared" si="10"/>
        <v>4</v>
      </c>
      <c r="G138" s="165">
        <v>46844</v>
      </c>
      <c r="H138" s="26" t="s">
        <v>259</v>
      </c>
      <c r="I138" s="26"/>
      <c r="J138" s="166">
        <v>4.1216063283593414</v>
      </c>
      <c r="K138" s="166">
        <v>0.17129999999999992</v>
      </c>
      <c r="L138" s="166">
        <v>4.2929063283593409</v>
      </c>
      <c r="M138" s="166">
        <v>4.1216063283593414</v>
      </c>
      <c r="N138" s="166">
        <v>1.0058187458141103</v>
      </c>
      <c r="O138" s="166">
        <v>5.1274250741734519</v>
      </c>
      <c r="P138" s="166">
        <v>4.5443838521582416</v>
      </c>
      <c r="Q138" s="166">
        <v>0.46818750000000003</v>
      </c>
      <c r="R138" s="166">
        <v>5.0125713521582416</v>
      </c>
      <c r="S138" s="26"/>
      <c r="T138" s="167">
        <f t="shared" si="11"/>
        <v>4.2625321696256409</v>
      </c>
    </row>
    <row r="139" spans="5:20">
      <c r="E139" s="26">
        <f t="shared" si="9"/>
        <v>2028</v>
      </c>
      <c r="F139" s="26">
        <f t="shared" si="10"/>
        <v>5</v>
      </c>
      <c r="G139" s="165">
        <v>46874</v>
      </c>
      <c r="H139" s="26" t="s">
        <v>260</v>
      </c>
      <c r="I139" s="26"/>
      <c r="J139" s="166">
        <v>4.3371372587184389</v>
      </c>
      <c r="K139" s="166">
        <v>0.17129999999999992</v>
      </c>
      <c r="L139" s="166">
        <v>4.5084372587184385</v>
      </c>
      <c r="M139" s="166">
        <v>4.3371372587184389</v>
      </c>
      <c r="N139" s="166">
        <v>1.0058187458141103</v>
      </c>
      <c r="O139" s="166">
        <v>5.3429560045325495</v>
      </c>
      <c r="P139" s="166">
        <v>4.7812637261945863</v>
      </c>
      <c r="Q139" s="166">
        <v>0.46818750000000003</v>
      </c>
      <c r="R139" s="166">
        <v>5.2494512261945863</v>
      </c>
      <c r="S139" s="26"/>
      <c r="T139" s="167">
        <f t="shared" si="11"/>
        <v>4.4851794145438211</v>
      </c>
    </row>
    <row r="140" spans="5:20">
      <c r="E140" s="26">
        <f t="shared" si="9"/>
        <v>2028</v>
      </c>
      <c r="F140" s="26">
        <f t="shared" si="10"/>
        <v>6</v>
      </c>
      <c r="G140" s="165">
        <v>46905</v>
      </c>
      <c r="H140" s="26" t="s">
        <v>261</v>
      </c>
      <c r="I140" s="26"/>
      <c r="J140" s="166">
        <v>4.2030842621085576</v>
      </c>
      <c r="K140" s="166">
        <v>0.17129999999999992</v>
      </c>
      <c r="L140" s="166">
        <v>4.3743842621085571</v>
      </c>
      <c r="M140" s="166">
        <v>4.2030842621085576</v>
      </c>
      <c r="N140" s="166">
        <v>1.0058187458141103</v>
      </c>
      <c r="O140" s="166">
        <v>5.2089030079226681</v>
      </c>
      <c r="P140" s="166">
        <v>4.6330126954322859</v>
      </c>
      <c r="Q140" s="166">
        <v>0.46818750000000003</v>
      </c>
      <c r="R140" s="166">
        <v>5.1012001954322859</v>
      </c>
      <c r="S140" s="26"/>
      <c r="T140" s="167">
        <f t="shared" si="11"/>
        <v>4.3463937398831334</v>
      </c>
    </row>
    <row r="141" spans="5:20">
      <c r="E141" s="26">
        <f t="shared" si="9"/>
        <v>2028</v>
      </c>
      <c r="F141" s="26">
        <f t="shared" si="10"/>
        <v>7</v>
      </c>
      <c r="G141" s="165">
        <v>46935</v>
      </c>
      <c r="H141" s="26" t="s">
        <v>262</v>
      </c>
      <c r="I141" s="26"/>
      <c r="J141" s="166">
        <v>4.246529813140639</v>
      </c>
      <c r="K141" s="166">
        <v>0.17129999999999992</v>
      </c>
      <c r="L141" s="166">
        <v>4.4178298131406386</v>
      </c>
      <c r="M141" s="166">
        <v>4.246529813140639</v>
      </c>
      <c r="N141" s="166">
        <v>1.0058187458141103</v>
      </c>
      <c r="O141" s="166">
        <v>5.2523485589547496</v>
      </c>
      <c r="P141" s="166">
        <v>4.6802050919815992</v>
      </c>
      <c r="Q141" s="166">
        <v>0.46818750000000003</v>
      </c>
      <c r="R141" s="166">
        <v>5.1483925919815992</v>
      </c>
      <c r="S141" s="26"/>
      <c r="T141" s="167">
        <f t="shared" si="11"/>
        <v>4.3910882394209594</v>
      </c>
    </row>
    <row r="142" spans="5:20">
      <c r="E142" s="26">
        <f t="shared" si="9"/>
        <v>2028</v>
      </c>
      <c r="F142" s="26">
        <f t="shared" si="10"/>
        <v>8</v>
      </c>
      <c r="G142" s="165">
        <v>46966</v>
      </c>
      <c r="H142" s="26" t="s">
        <v>263</v>
      </c>
      <c r="I142" s="26"/>
      <c r="J142" s="166">
        <v>4.2805805654061437</v>
      </c>
      <c r="K142" s="166">
        <v>0.17129999999999992</v>
      </c>
      <c r="L142" s="166">
        <v>4.4518805654061433</v>
      </c>
      <c r="M142" s="166">
        <v>4.2805805654061437</v>
      </c>
      <c r="N142" s="166">
        <v>1.0058187458141103</v>
      </c>
      <c r="O142" s="166">
        <v>5.2863993112202543</v>
      </c>
      <c r="P142" s="166">
        <v>4.717031362306404</v>
      </c>
      <c r="Q142" s="166">
        <v>0.46818750000000003</v>
      </c>
      <c r="R142" s="166">
        <v>5.1852188623064039</v>
      </c>
      <c r="S142" s="26"/>
      <c r="T142" s="167">
        <f t="shared" si="11"/>
        <v>4.4260641643728968</v>
      </c>
    </row>
    <row r="143" spans="5:20">
      <c r="E143" s="26">
        <f t="shared" si="9"/>
        <v>2028</v>
      </c>
      <c r="F143" s="26">
        <f t="shared" si="10"/>
        <v>9</v>
      </c>
      <c r="G143" s="165">
        <v>46997</v>
      </c>
      <c r="H143" s="26" t="s">
        <v>264</v>
      </c>
      <c r="I143" s="26"/>
      <c r="J143" s="166">
        <v>3.9015777102193594</v>
      </c>
      <c r="K143" s="166">
        <v>0.17129999999999992</v>
      </c>
      <c r="L143" s="166">
        <v>4.072877710219359</v>
      </c>
      <c r="M143" s="166">
        <v>3.9015777102193594</v>
      </c>
      <c r="N143" s="166">
        <v>1.0058187458141103</v>
      </c>
      <c r="O143" s="166">
        <v>4.90739645603347</v>
      </c>
      <c r="P143" s="166">
        <v>4.2987461320214395</v>
      </c>
      <c r="Q143" s="166">
        <v>0.46818750000000003</v>
      </c>
      <c r="R143" s="166">
        <v>4.7669336320214395</v>
      </c>
      <c r="S143" s="26"/>
      <c r="T143" s="167">
        <f t="shared" si="11"/>
        <v>4.0339671841533864</v>
      </c>
    </row>
    <row r="144" spans="5:20">
      <c r="E144" s="26">
        <f t="shared" si="9"/>
        <v>2028</v>
      </c>
      <c r="F144" s="26">
        <f t="shared" si="10"/>
        <v>10</v>
      </c>
      <c r="G144" s="165">
        <v>47027</v>
      </c>
      <c r="H144" s="26" t="s">
        <v>265</v>
      </c>
      <c r="I144" s="26"/>
      <c r="J144" s="166">
        <v>3.9406170627358938</v>
      </c>
      <c r="K144" s="166">
        <v>0.17129999999999992</v>
      </c>
      <c r="L144" s="166">
        <v>4.1119170627358939</v>
      </c>
      <c r="M144" s="166">
        <v>3.9406170627358938</v>
      </c>
      <c r="N144" s="166">
        <v>1.0058187458141103</v>
      </c>
      <c r="O144" s="166">
        <v>4.946435808550004</v>
      </c>
      <c r="P144" s="166">
        <v>4.341114945253123</v>
      </c>
      <c r="Q144" s="166">
        <v>0.46818750000000003</v>
      </c>
      <c r="R144" s="166">
        <v>4.809302445253123</v>
      </c>
      <c r="S144" s="26"/>
      <c r="T144" s="167">
        <f t="shared" si="11"/>
        <v>4.074116356908303</v>
      </c>
    </row>
    <row r="145" spans="5:20">
      <c r="E145" s="26">
        <f t="shared" si="9"/>
        <v>2028</v>
      </c>
      <c r="F145" s="26">
        <f t="shared" si="10"/>
        <v>11</v>
      </c>
      <c r="G145" s="165">
        <v>47058</v>
      </c>
      <c r="H145" s="26" t="s">
        <v>266</v>
      </c>
      <c r="I145" s="26"/>
      <c r="J145" s="166">
        <v>3.8687230476037486</v>
      </c>
      <c r="K145" s="166">
        <v>0.17129999999999992</v>
      </c>
      <c r="L145" s="166">
        <v>4.0400230476037482</v>
      </c>
      <c r="M145" s="166">
        <v>3.8687230476037486</v>
      </c>
      <c r="N145" s="166">
        <v>1.0058187458141103</v>
      </c>
      <c r="O145" s="166">
        <v>4.8745417934178592</v>
      </c>
      <c r="P145" s="166">
        <v>4.2612819930059551</v>
      </c>
      <c r="Q145" s="166">
        <v>0.46818750000000003</v>
      </c>
      <c r="R145" s="166">
        <v>4.7294694930059551</v>
      </c>
      <c r="S145" s="26"/>
      <c r="T145" s="167">
        <f t="shared" si="11"/>
        <v>3.999576029404484</v>
      </c>
    </row>
    <row r="146" spans="5:20">
      <c r="E146" s="26">
        <f t="shared" si="9"/>
        <v>2028</v>
      </c>
      <c r="F146" s="26">
        <f t="shared" si="10"/>
        <v>12</v>
      </c>
      <c r="G146" s="165">
        <v>47088</v>
      </c>
      <c r="H146" s="26" t="s">
        <v>267</v>
      </c>
      <c r="I146" s="26"/>
      <c r="J146" s="166">
        <v>4.2778055763076415</v>
      </c>
      <c r="K146" s="166">
        <v>0.17129999999999992</v>
      </c>
      <c r="L146" s="166">
        <v>4.449105576307641</v>
      </c>
      <c r="M146" s="166">
        <v>4.2778055763076415</v>
      </c>
      <c r="N146" s="166">
        <v>1.0058187458141103</v>
      </c>
      <c r="O146" s="166">
        <v>5.283624322121752</v>
      </c>
      <c r="P146" s="166">
        <v>4.7111759625299534</v>
      </c>
      <c r="Q146" s="166">
        <v>0.46818750000000003</v>
      </c>
      <c r="R146" s="166">
        <v>5.1793634625299534</v>
      </c>
      <c r="S146" s="26"/>
      <c r="T146" s="167">
        <f t="shared" si="11"/>
        <v>4.4222623717150791</v>
      </c>
    </row>
    <row r="147" spans="5:20">
      <c r="E147" s="26">
        <f t="shared" si="9"/>
        <v>2029</v>
      </c>
      <c r="F147" s="26">
        <f t="shared" si="10"/>
        <v>1</v>
      </c>
      <c r="G147" s="165">
        <v>47119</v>
      </c>
      <c r="H147" s="26" t="s">
        <v>268</v>
      </c>
      <c r="I147" s="26"/>
      <c r="J147" s="166">
        <v>4.6504101099395845</v>
      </c>
      <c r="K147" s="166">
        <v>0.17129999999999992</v>
      </c>
      <c r="L147" s="166">
        <v>4.821710109939584</v>
      </c>
      <c r="M147" s="166">
        <v>4.6504101099395845</v>
      </c>
      <c r="N147" s="166">
        <v>1.0058187458141103</v>
      </c>
      <c r="O147" s="166">
        <v>5.6562288557536951</v>
      </c>
      <c r="P147" s="166">
        <v>5.1193413428516958</v>
      </c>
      <c r="Q147" s="166">
        <v>0.46818750000000003</v>
      </c>
      <c r="R147" s="166">
        <v>5.5875288428516958</v>
      </c>
      <c r="S147" s="26"/>
      <c r="T147" s="167">
        <f t="shared" si="11"/>
        <v>4.8067205209102886</v>
      </c>
    </row>
    <row r="148" spans="5:20">
      <c r="E148" s="26">
        <f t="shared" si="9"/>
        <v>2029</v>
      </c>
      <c r="F148" s="26">
        <f t="shared" si="10"/>
        <v>2</v>
      </c>
      <c r="G148" s="165">
        <v>47150</v>
      </c>
      <c r="H148" s="26" t="s">
        <v>269</v>
      </c>
      <c r="I148" s="26"/>
      <c r="J148" s="166">
        <v>4.7479796444283648</v>
      </c>
      <c r="K148" s="166">
        <v>0.17129999999999992</v>
      </c>
      <c r="L148" s="166">
        <v>4.9192796444283644</v>
      </c>
      <c r="M148" s="166">
        <v>4.7479796444283648</v>
      </c>
      <c r="N148" s="166">
        <v>1.0058187458141103</v>
      </c>
      <c r="O148" s="166">
        <v>5.7537983902424754</v>
      </c>
      <c r="P148" s="166">
        <v>5.225992744507808</v>
      </c>
      <c r="Q148" s="166">
        <v>0.46818750000000003</v>
      </c>
      <c r="R148" s="166">
        <v>5.694180244507808</v>
      </c>
      <c r="S148" s="26"/>
      <c r="T148" s="167">
        <f t="shared" si="11"/>
        <v>4.9073173444548459</v>
      </c>
    </row>
    <row r="149" spans="5:20">
      <c r="E149" s="26">
        <f t="shared" si="9"/>
        <v>2029</v>
      </c>
      <c r="F149" s="26">
        <f t="shared" si="10"/>
        <v>3</v>
      </c>
      <c r="G149" s="165">
        <v>47178</v>
      </c>
      <c r="H149" s="26" t="s">
        <v>270</v>
      </c>
      <c r="I149" s="26"/>
      <c r="J149" s="166">
        <v>4.2421639069651613</v>
      </c>
      <c r="K149" s="166">
        <v>0.17129999999999992</v>
      </c>
      <c r="L149" s="166">
        <v>4.4134639069651609</v>
      </c>
      <c r="M149" s="166">
        <v>4.2421639069651613</v>
      </c>
      <c r="N149" s="166">
        <v>1.0058187458141103</v>
      </c>
      <c r="O149" s="166">
        <v>5.2479826527792719</v>
      </c>
      <c r="P149" s="166">
        <v>4.6685776077783689</v>
      </c>
      <c r="Q149" s="166">
        <v>0.46818750000000003</v>
      </c>
      <c r="R149" s="166">
        <v>5.1367651077783689</v>
      </c>
      <c r="S149" s="26"/>
      <c r="T149" s="167">
        <f t="shared" si="11"/>
        <v>4.3843018072362305</v>
      </c>
    </row>
    <row r="150" spans="5:20">
      <c r="E150" s="26">
        <f t="shared" si="9"/>
        <v>2029</v>
      </c>
      <c r="F150" s="26">
        <f t="shared" si="10"/>
        <v>4</v>
      </c>
      <c r="G150" s="165">
        <v>47209</v>
      </c>
      <c r="H150" s="26" t="s">
        <v>271</v>
      </c>
      <c r="I150" s="26"/>
      <c r="J150" s="166">
        <v>4.2375875441913733</v>
      </c>
      <c r="K150" s="166">
        <v>0.17129999999999992</v>
      </c>
      <c r="L150" s="166">
        <v>4.4088875441913729</v>
      </c>
      <c r="M150" s="166">
        <v>4.2375875441913733</v>
      </c>
      <c r="N150" s="166">
        <v>1.0058187458141103</v>
      </c>
      <c r="O150" s="166">
        <v>5.2434062900054839</v>
      </c>
      <c r="P150" s="166">
        <v>4.662867440952315</v>
      </c>
      <c r="Q150" s="166">
        <v>0.46818750000000003</v>
      </c>
      <c r="R150" s="166">
        <v>5.131054940952315</v>
      </c>
      <c r="S150" s="26"/>
      <c r="T150" s="167">
        <f t="shared" si="11"/>
        <v>4.3793475097783539</v>
      </c>
    </row>
    <row r="151" spans="5:20">
      <c r="E151" s="26">
        <f t="shared" si="9"/>
        <v>2029</v>
      </c>
      <c r="F151" s="26">
        <f t="shared" si="10"/>
        <v>5</v>
      </c>
      <c r="G151" s="165">
        <v>47239</v>
      </c>
      <c r="H151" s="26" t="s">
        <v>272</v>
      </c>
      <c r="I151" s="26"/>
      <c r="J151" s="166">
        <v>4.4596024784577244</v>
      </c>
      <c r="K151" s="166">
        <v>0.17129999999999992</v>
      </c>
      <c r="L151" s="166">
        <v>4.630902478457724</v>
      </c>
      <c r="M151" s="166">
        <v>4.4596024784577244</v>
      </c>
      <c r="N151" s="166">
        <v>1.0058187458141103</v>
      </c>
      <c r="O151" s="166">
        <v>5.465421224271835</v>
      </c>
      <c r="P151" s="166">
        <v>4.9064552869127169</v>
      </c>
      <c r="Q151" s="166">
        <v>0.46818750000000003</v>
      </c>
      <c r="R151" s="166">
        <v>5.3746427869127169</v>
      </c>
      <c r="S151" s="26"/>
      <c r="T151" s="167">
        <f t="shared" si="11"/>
        <v>4.6085534146093883</v>
      </c>
    </row>
    <row r="152" spans="5:20">
      <c r="E152" s="26">
        <f t="shared" si="9"/>
        <v>2029</v>
      </c>
      <c r="F152" s="26">
        <f t="shared" si="10"/>
        <v>6</v>
      </c>
      <c r="G152" s="165">
        <v>47270</v>
      </c>
      <c r="H152" s="26" t="s">
        <v>273</v>
      </c>
      <c r="I152" s="26"/>
      <c r="J152" s="166">
        <v>4.3210514256675845</v>
      </c>
      <c r="K152" s="166">
        <v>0.17129999999999992</v>
      </c>
      <c r="L152" s="166">
        <v>4.4923514256675841</v>
      </c>
      <c r="M152" s="166">
        <v>4.3210514256675845</v>
      </c>
      <c r="N152" s="166">
        <v>1.0058187458141103</v>
      </c>
      <c r="O152" s="166">
        <v>5.3268701714816951</v>
      </c>
      <c r="P152" s="166">
        <v>4.7516617922063382</v>
      </c>
      <c r="Q152" s="166">
        <v>0.46818750000000003</v>
      </c>
      <c r="R152" s="166">
        <v>5.2198492922063382</v>
      </c>
      <c r="S152" s="26"/>
      <c r="T152" s="167">
        <f t="shared" si="11"/>
        <v>4.464588214513836</v>
      </c>
    </row>
    <row r="153" spans="5:20">
      <c r="E153" s="26">
        <f t="shared" si="9"/>
        <v>2029</v>
      </c>
      <c r="F153" s="26">
        <f t="shared" si="10"/>
        <v>7</v>
      </c>
      <c r="G153" s="165">
        <v>47300</v>
      </c>
      <c r="H153" s="26" t="s">
        <v>274</v>
      </c>
      <c r="I153" s="26"/>
      <c r="J153" s="166">
        <v>4.365937928503727</v>
      </c>
      <c r="K153" s="166">
        <v>0.17129999999999992</v>
      </c>
      <c r="L153" s="166">
        <v>4.5372379285037265</v>
      </c>
      <c r="M153" s="166">
        <v>4.365937928503727</v>
      </c>
      <c r="N153" s="166">
        <v>1.0058187458141103</v>
      </c>
      <c r="O153" s="166">
        <v>5.3717566743178375</v>
      </c>
      <c r="P153" s="166">
        <v>4.8000492993316</v>
      </c>
      <c r="Q153" s="166">
        <v>0.46818750000000003</v>
      </c>
      <c r="R153" s="166">
        <v>5.2682367993315999</v>
      </c>
      <c r="S153" s="26"/>
      <c r="T153" s="167">
        <f t="shared" si="11"/>
        <v>4.5106417187796843</v>
      </c>
    </row>
    <row r="154" spans="5:20">
      <c r="E154" s="26">
        <f t="shared" si="9"/>
        <v>2029</v>
      </c>
      <c r="F154" s="26">
        <f t="shared" si="10"/>
        <v>8</v>
      </c>
      <c r="G154" s="165">
        <v>47331</v>
      </c>
      <c r="H154" s="26" t="s">
        <v>275</v>
      </c>
      <c r="I154" s="26"/>
      <c r="J154" s="166">
        <v>4.401169238426327</v>
      </c>
      <c r="K154" s="166">
        <v>0.17129999999999992</v>
      </c>
      <c r="L154" s="166">
        <v>4.5724692384263266</v>
      </c>
      <c r="M154" s="166">
        <v>4.401169238426327</v>
      </c>
      <c r="N154" s="166">
        <v>1.0058187458141103</v>
      </c>
      <c r="O154" s="166">
        <v>5.4069879842404376</v>
      </c>
      <c r="P154" s="166">
        <v>4.8378050092472655</v>
      </c>
      <c r="Q154" s="166">
        <v>0.46818750000000003</v>
      </c>
      <c r="R154" s="166">
        <v>5.3059925092472655</v>
      </c>
      <c r="S154" s="26"/>
      <c r="T154" s="167">
        <f t="shared" si="11"/>
        <v>4.5467144953666399</v>
      </c>
    </row>
    <row r="155" spans="5:20">
      <c r="E155" s="26">
        <f t="shared" si="9"/>
        <v>2029</v>
      </c>
      <c r="F155" s="26">
        <f t="shared" si="10"/>
        <v>9</v>
      </c>
      <c r="G155" s="165">
        <v>47362</v>
      </c>
      <c r="H155" s="26" t="s">
        <v>276</v>
      </c>
      <c r="I155" s="26"/>
      <c r="J155" s="166">
        <v>4.0116925465209361</v>
      </c>
      <c r="K155" s="166">
        <v>0.17129999999999992</v>
      </c>
      <c r="L155" s="166">
        <v>4.1829925465209357</v>
      </c>
      <c r="M155" s="166">
        <v>4.0116925465209361</v>
      </c>
      <c r="N155" s="166">
        <v>1.0058187458141103</v>
      </c>
      <c r="O155" s="166">
        <v>5.0175112923350467</v>
      </c>
      <c r="P155" s="166">
        <v>4.4087977690925193</v>
      </c>
      <c r="Q155" s="166">
        <v>0.46818750000000003</v>
      </c>
      <c r="R155" s="166">
        <v>4.8769852690925193</v>
      </c>
      <c r="S155" s="26"/>
      <c r="T155" s="167">
        <f t="shared" si="11"/>
        <v>4.1440609540447975</v>
      </c>
    </row>
    <row r="156" spans="5:20">
      <c r="E156" s="26">
        <f t="shared" si="9"/>
        <v>2029</v>
      </c>
      <c r="F156" s="26">
        <f t="shared" si="10"/>
        <v>10</v>
      </c>
      <c r="G156" s="165">
        <v>47392</v>
      </c>
      <c r="H156" s="26" t="s">
        <v>277</v>
      </c>
      <c r="I156" s="26"/>
      <c r="J156" s="166">
        <v>4.0520385928606739</v>
      </c>
      <c r="K156" s="166">
        <v>0.17129999999999992</v>
      </c>
      <c r="L156" s="166">
        <v>4.2233385928606735</v>
      </c>
      <c r="M156" s="166">
        <v>4.0520385928606739</v>
      </c>
      <c r="N156" s="166">
        <v>1.0058187458141103</v>
      </c>
      <c r="O156" s="166">
        <v>5.0578573386747845</v>
      </c>
      <c r="P156" s="166">
        <v>4.4522388068310139</v>
      </c>
      <c r="Q156" s="166">
        <v>0.46818750000000003</v>
      </c>
      <c r="R156" s="166">
        <v>4.9204263068310139</v>
      </c>
      <c r="S156" s="26"/>
      <c r="T156" s="167">
        <f t="shared" si="11"/>
        <v>4.1854386641841206</v>
      </c>
    </row>
    <row r="157" spans="5:20">
      <c r="E157" s="26">
        <f t="shared" si="9"/>
        <v>2029</v>
      </c>
      <c r="F157" s="26">
        <f t="shared" si="10"/>
        <v>11</v>
      </c>
      <c r="G157" s="165">
        <v>47423</v>
      </c>
      <c r="H157" s="26" t="s">
        <v>278</v>
      </c>
      <c r="I157" s="26"/>
      <c r="J157" s="166">
        <v>3.9783126673294795</v>
      </c>
      <c r="K157" s="166">
        <v>0.17129999999999992</v>
      </c>
      <c r="L157" s="166">
        <v>4.1496126673294791</v>
      </c>
      <c r="M157" s="166">
        <v>3.9783126673294795</v>
      </c>
      <c r="N157" s="166">
        <v>1.0058187458141103</v>
      </c>
      <c r="O157" s="166">
        <v>4.9841314131435901</v>
      </c>
      <c r="P157" s="166">
        <v>4.3703500766235113</v>
      </c>
      <c r="Q157" s="166">
        <v>0.46818750000000003</v>
      </c>
      <c r="R157" s="166">
        <v>4.8385375766235112</v>
      </c>
      <c r="S157" s="26"/>
      <c r="T157" s="167">
        <f t="shared" si="11"/>
        <v>4.1089918037608237</v>
      </c>
    </row>
    <row r="158" spans="5:20">
      <c r="E158" s="26">
        <f t="shared" si="9"/>
        <v>2029</v>
      </c>
      <c r="F158" s="26">
        <f t="shared" si="10"/>
        <v>12</v>
      </c>
      <c r="G158" s="165">
        <v>47453</v>
      </c>
      <c r="H158" s="26" t="s">
        <v>279</v>
      </c>
      <c r="I158" s="26"/>
      <c r="J158" s="166">
        <v>4.3992051925531328</v>
      </c>
      <c r="K158" s="166">
        <v>0.17129999999999992</v>
      </c>
      <c r="L158" s="166">
        <v>4.5705051925531324</v>
      </c>
      <c r="M158" s="166">
        <v>4.3992051925531328</v>
      </c>
      <c r="N158" s="166">
        <v>1.0058187458141103</v>
      </c>
      <c r="O158" s="166">
        <v>5.4050239383672434</v>
      </c>
      <c r="P158" s="166">
        <v>4.8317456510482648</v>
      </c>
      <c r="Q158" s="166">
        <v>0.46818750000000003</v>
      </c>
      <c r="R158" s="166">
        <v>5.2999331510482648</v>
      </c>
      <c r="S158" s="26"/>
      <c r="T158" s="167">
        <f t="shared" si="11"/>
        <v>4.5433853453848441</v>
      </c>
    </row>
    <row r="159" spans="5:20">
      <c r="E159" s="26">
        <f t="shared" si="9"/>
        <v>2030</v>
      </c>
      <c r="F159" s="26">
        <f t="shared" si="10"/>
        <v>1</v>
      </c>
      <c r="G159" s="165">
        <v>47484</v>
      </c>
      <c r="H159" s="26" t="s">
        <v>280</v>
      </c>
      <c r="I159" s="26"/>
      <c r="J159" s="166">
        <v>4.7830150095152684</v>
      </c>
      <c r="K159" s="166">
        <v>0.17129999999999992</v>
      </c>
      <c r="L159" s="166">
        <v>4.9543150095152679</v>
      </c>
      <c r="M159" s="166">
        <v>4.7830150095152684</v>
      </c>
      <c r="N159" s="166">
        <v>1.0058187458141103</v>
      </c>
      <c r="O159" s="166">
        <v>5.7888337553293789</v>
      </c>
      <c r="P159" s="166">
        <v>5.24996192242536</v>
      </c>
      <c r="Q159" s="166">
        <v>0.46818750000000003</v>
      </c>
      <c r="R159" s="166">
        <v>5.71814942242536</v>
      </c>
      <c r="S159" s="26"/>
      <c r="T159" s="167">
        <f t="shared" si="11"/>
        <v>4.9386639804852992</v>
      </c>
    </row>
    <row r="160" spans="5:20">
      <c r="E160" s="26">
        <f t="shared" si="9"/>
        <v>2030</v>
      </c>
      <c r="F160" s="26">
        <f t="shared" si="10"/>
        <v>2</v>
      </c>
      <c r="G160" s="165">
        <v>47515</v>
      </c>
      <c r="H160" s="26" t="s">
        <v>281</v>
      </c>
      <c r="I160" s="26"/>
      <c r="J160" s="166">
        <v>4.8836072479940063</v>
      </c>
      <c r="K160" s="166">
        <v>0.17129999999999992</v>
      </c>
      <c r="L160" s="166">
        <v>5.0549072479940058</v>
      </c>
      <c r="M160" s="166">
        <v>4.8836072479940063</v>
      </c>
      <c r="N160" s="166">
        <v>1.0058187458141103</v>
      </c>
      <c r="O160" s="166">
        <v>5.8894259938081168</v>
      </c>
      <c r="P160" s="166">
        <v>5.3593200715637934</v>
      </c>
      <c r="Q160" s="166">
        <v>0.46818750000000003</v>
      </c>
      <c r="R160" s="166">
        <v>5.8275075715637934</v>
      </c>
      <c r="S160" s="26"/>
      <c r="T160" s="167">
        <f t="shared" si="11"/>
        <v>5.042178189183935</v>
      </c>
    </row>
    <row r="161" spans="5:20">
      <c r="E161" s="26">
        <f t="shared" si="9"/>
        <v>2030</v>
      </c>
      <c r="F161" s="26">
        <f t="shared" si="10"/>
        <v>3</v>
      </c>
      <c r="G161" s="165">
        <v>47543</v>
      </c>
      <c r="H161" s="26" t="s">
        <v>282</v>
      </c>
      <c r="I161" s="26"/>
      <c r="J161" s="166">
        <v>4.3635573835333155</v>
      </c>
      <c r="K161" s="166">
        <v>0.17129999999999992</v>
      </c>
      <c r="L161" s="166">
        <v>4.534857383533315</v>
      </c>
      <c r="M161" s="166">
        <v>4.3635573835333155</v>
      </c>
      <c r="N161" s="166">
        <v>1.0058187458141103</v>
      </c>
      <c r="O161" s="166">
        <v>5.369376129347426</v>
      </c>
      <c r="P161" s="166">
        <v>4.7876710478547801</v>
      </c>
      <c r="Q161" s="166">
        <v>0.46818750000000003</v>
      </c>
      <c r="R161" s="166">
        <v>5.2558585478547801</v>
      </c>
      <c r="S161" s="26"/>
      <c r="T161" s="167">
        <f t="shared" si="11"/>
        <v>4.5049286049738031</v>
      </c>
    </row>
    <row r="162" spans="5:20">
      <c r="E162" s="26">
        <f t="shared" si="9"/>
        <v>2030</v>
      </c>
      <c r="F162" s="26">
        <f t="shared" si="10"/>
        <v>4</v>
      </c>
      <c r="G162" s="165">
        <v>47574</v>
      </c>
      <c r="H162" s="26" t="s">
        <v>283</v>
      </c>
      <c r="I162" s="26"/>
      <c r="J162" s="166">
        <v>4.3590642499387187</v>
      </c>
      <c r="K162" s="166">
        <v>0.17129999999999992</v>
      </c>
      <c r="L162" s="166">
        <v>4.5303642499387182</v>
      </c>
      <c r="M162" s="166">
        <v>4.3590642499387187</v>
      </c>
      <c r="N162" s="166">
        <v>1.0058187458141103</v>
      </c>
      <c r="O162" s="166">
        <v>5.3648829957528292</v>
      </c>
      <c r="P162" s="166">
        <v>4.7818023241224248</v>
      </c>
      <c r="Q162" s="166">
        <v>0.46818750000000003</v>
      </c>
      <c r="R162" s="166">
        <v>5.2499898241224248</v>
      </c>
      <c r="S162" s="26"/>
      <c r="T162" s="167">
        <f t="shared" si="11"/>
        <v>4.4999769413332871</v>
      </c>
    </row>
    <row r="163" spans="5:20">
      <c r="E163" s="26">
        <f t="shared" si="9"/>
        <v>2030</v>
      </c>
      <c r="F163" s="26">
        <f t="shared" si="10"/>
        <v>5</v>
      </c>
      <c r="G163" s="165">
        <v>47604</v>
      </c>
      <c r="H163" s="26" t="s">
        <v>284</v>
      </c>
      <c r="I163" s="26"/>
      <c r="J163" s="166">
        <v>4.5876687166771131</v>
      </c>
      <c r="K163" s="166">
        <v>0.17129999999999992</v>
      </c>
      <c r="L163" s="166">
        <v>4.7589687166771126</v>
      </c>
      <c r="M163" s="166">
        <v>4.5876687166771131</v>
      </c>
      <c r="N163" s="166">
        <v>1.0058187458141103</v>
      </c>
      <c r="O163" s="166">
        <v>5.5934874624912236</v>
      </c>
      <c r="P163" s="166">
        <v>5.0315897647862453</v>
      </c>
      <c r="Q163" s="166">
        <v>0.46818750000000003</v>
      </c>
      <c r="R163" s="166">
        <v>5.4997772647862453</v>
      </c>
      <c r="S163" s="26"/>
      <c r="T163" s="167">
        <f t="shared" si="11"/>
        <v>4.7356423993801569</v>
      </c>
    </row>
    <row r="164" spans="5:20">
      <c r="E164" s="26">
        <f t="shared" si="9"/>
        <v>2030</v>
      </c>
      <c r="F164" s="26">
        <f t="shared" si="10"/>
        <v>6</v>
      </c>
      <c r="G164" s="165">
        <v>47635</v>
      </c>
      <c r="H164" s="26" t="s">
        <v>285</v>
      </c>
      <c r="I164" s="26"/>
      <c r="J164" s="166">
        <v>4.4332683987337758</v>
      </c>
      <c r="K164" s="166">
        <v>0.17129999999999992</v>
      </c>
      <c r="L164" s="166">
        <v>4.6045683987337753</v>
      </c>
      <c r="M164" s="166">
        <v>4.4332683987337758</v>
      </c>
      <c r="N164" s="166">
        <v>1.0058187458141103</v>
      </c>
      <c r="O164" s="166">
        <v>5.4390871445478863</v>
      </c>
      <c r="P164" s="166">
        <v>4.8635922427569618</v>
      </c>
      <c r="Q164" s="166">
        <v>0.46818750000000003</v>
      </c>
      <c r="R164" s="166">
        <v>5.3317797427569618</v>
      </c>
      <c r="S164" s="26"/>
      <c r="T164" s="167">
        <f t="shared" si="11"/>
        <v>4.5767096800748375</v>
      </c>
    </row>
    <row r="165" spans="5:20">
      <c r="E165" s="26">
        <f t="shared" si="9"/>
        <v>2030</v>
      </c>
      <c r="F165" s="26">
        <f t="shared" si="10"/>
        <v>7</v>
      </c>
      <c r="G165" s="165">
        <v>47665</v>
      </c>
      <c r="H165" s="26" t="s">
        <v>286</v>
      </c>
      <c r="I165" s="26"/>
      <c r="J165" s="166">
        <v>4.4775139361812055</v>
      </c>
      <c r="K165" s="166">
        <v>0.17129999999999992</v>
      </c>
      <c r="L165" s="166">
        <v>4.6488139361812051</v>
      </c>
      <c r="M165" s="166">
        <v>4.4775139361812055</v>
      </c>
      <c r="N165" s="166">
        <v>1.0058187458141103</v>
      </c>
      <c r="O165" s="166">
        <v>5.4833326819953161</v>
      </c>
      <c r="P165" s="166">
        <v>4.9115549624595856</v>
      </c>
      <c r="Q165" s="166">
        <v>0.46818750000000003</v>
      </c>
      <c r="R165" s="166">
        <v>5.3797424624595855</v>
      </c>
      <c r="S165" s="26"/>
      <c r="T165" s="167">
        <f t="shared" si="11"/>
        <v>4.6221942782739989</v>
      </c>
    </row>
    <row r="166" spans="5:20">
      <c r="E166" s="26">
        <f t="shared" si="9"/>
        <v>2030</v>
      </c>
      <c r="F166" s="26">
        <f t="shared" si="10"/>
        <v>8</v>
      </c>
      <c r="G166" s="165">
        <v>47696</v>
      </c>
      <c r="H166" s="26" t="s">
        <v>287</v>
      </c>
      <c r="I166" s="26"/>
      <c r="J166" s="166">
        <v>4.5118267284287006</v>
      </c>
      <c r="K166" s="166">
        <v>0.17129999999999992</v>
      </c>
      <c r="L166" s="166">
        <v>4.6831267284287001</v>
      </c>
      <c r="M166" s="166">
        <v>4.5118267284287006</v>
      </c>
      <c r="N166" s="166">
        <v>1.0058187458141103</v>
      </c>
      <c r="O166" s="166">
        <v>5.5176454742428112</v>
      </c>
      <c r="P166" s="166">
        <v>4.9486122248619306</v>
      </c>
      <c r="Q166" s="166">
        <v>0.46818750000000003</v>
      </c>
      <c r="R166" s="166">
        <v>5.4167997248619306</v>
      </c>
      <c r="S166" s="26"/>
      <c r="T166" s="167">
        <f t="shared" si="11"/>
        <v>4.6574218939064442</v>
      </c>
    </row>
    <row r="167" spans="5:20">
      <c r="E167" s="26">
        <f t="shared" si="9"/>
        <v>2030</v>
      </c>
      <c r="F167" s="26">
        <f t="shared" si="10"/>
        <v>9</v>
      </c>
      <c r="G167" s="165">
        <v>47727</v>
      </c>
      <c r="H167" s="26" t="s">
        <v>288</v>
      </c>
      <c r="I167" s="26"/>
      <c r="J167" s="166">
        <v>4.1109017303655548</v>
      </c>
      <c r="K167" s="166">
        <v>0.17129999999999992</v>
      </c>
      <c r="L167" s="166">
        <v>4.2822017303655544</v>
      </c>
      <c r="M167" s="166">
        <v>4.1109017303655548</v>
      </c>
      <c r="N167" s="166">
        <v>1.0058187458141103</v>
      </c>
      <c r="O167" s="166">
        <v>5.1167204761796654</v>
      </c>
      <c r="P167" s="166">
        <v>4.5083442821811648</v>
      </c>
      <c r="Q167" s="166">
        <v>0.46818750000000003</v>
      </c>
      <c r="R167" s="166">
        <v>4.9765317821811648</v>
      </c>
      <c r="S167" s="26"/>
      <c r="T167" s="167">
        <f t="shared" si="11"/>
        <v>4.2433825809707582</v>
      </c>
    </row>
    <row r="168" spans="5:20">
      <c r="E168" s="26">
        <f t="shared" si="9"/>
        <v>2030</v>
      </c>
      <c r="F168" s="26">
        <f t="shared" si="10"/>
        <v>10</v>
      </c>
      <c r="G168" s="165">
        <v>47757</v>
      </c>
      <c r="H168" s="26" t="s">
        <v>289</v>
      </c>
      <c r="I168" s="26"/>
      <c r="J168" s="166">
        <v>4.1505752451686728</v>
      </c>
      <c r="K168" s="166">
        <v>0.17129999999999992</v>
      </c>
      <c r="L168" s="166">
        <v>4.3218752451686724</v>
      </c>
      <c r="M168" s="166">
        <v>4.1505752451686728</v>
      </c>
      <c r="N168" s="166">
        <v>1.0058187458141103</v>
      </c>
      <c r="O168" s="166">
        <v>5.1563939909827834</v>
      </c>
      <c r="P168" s="166">
        <v>4.5513187930106582</v>
      </c>
      <c r="Q168" s="166">
        <v>0.46818750000000003</v>
      </c>
      <c r="R168" s="166">
        <v>5.0195062930106582</v>
      </c>
      <c r="S168" s="26"/>
      <c r="T168" s="167">
        <f t="shared" si="11"/>
        <v>4.2841564277826683</v>
      </c>
    </row>
    <row r="169" spans="5:20">
      <c r="E169" s="26">
        <f t="shared" si="9"/>
        <v>2030</v>
      </c>
      <c r="F169" s="26">
        <f t="shared" si="10"/>
        <v>11</v>
      </c>
      <c r="G169" s="165">
        <v>47788</v>
      </c>
      <c r="H169" s="26" t="s">
        <v>290</v>
      </c>
      <c r="I169" s="26"/>
      <c r="J169" s="166">
        <v>4.0734186799623044</v>
      </c>
      <c r="K169" s="166">
        <v>0.17129999999999992</v>
      </c>
      <c r="L169" s="166">
        <v>4.244718679962304</v>
      </c>
      <c r="M169" s="166">
        <v>4.0734186799623044</v>
      </c>
      <c r="N169" s="166">
        <v>1.0058187458141103</v>
      </c>
      <c r="O169" s="166">
        <v>5.079237425776415</v>
      </c>
      <c r="P169" s="166">
        <v>4.4661882067570371</v>
      </c>
      <c r="Q169" s="166">
        <v>0.46818750000000003</v>
      </c>
      <c r="R169" s="166">
        <v>4.9343757067570371</v>
      </c>
      <c r="S169" s="26"/>
      <c r="T169" s="167">
        <f t="shared" si="11"/>
        <v>4.204341855560549</v>
      </c>
    </row>
    <row r="170" spans="5:20">
      <c r="E170" s="26">
        <f t="shared" si="9"/>
        <v>2030</v>
      </c>
      <c r="F170" s="26">
        <f t="shared" si="10"/>
        <v>12</v>
      </c>
      <c r="G170" s="165">
        <v>47818</v>
      </c>
      <c r="H170" s="26" t="s">
        <v>291</v>
      </c>
      <c r="I170" s="26"/>
      <c r="J170" s="166">
        <v>4.5025643817418048</v>
      </c>
      <c r="K170" s="166">
        <v>0.17129999999999992</v>
      </c>
      <c r="L170" s="166">
        <v>4.6738643817418044</v>
      </c>
      <c r="M170" s="166">
        <v>4.5025643817418048</v>
      </c>
      <c r="N170" s="166">
        <v>1.0058187458141103</v>
      </c>
      <c r="O170" s="166">
        <v>5.5083831275559154</v>
      </c>
      <c r="P170" s="166">
        <v>4.936133818760819</v>
      </c>
      <c r="Q170" s="166">
        <v>0.46818750000000003</v>
      </c>
      <c r="R170" s="166">
        <v>5.404321318760819</v>
      </c>
      <c r="S170" s="26"/>
      <c r="T170" s="167">
        <f t="shared" si="11"/>
        <v>4.6470875274148096</v>
      </c>
    </row>
    <row r="171" spans="5:20">
      <c r="E171" s="26">
        <f t="shared" si="9"/>
        <v>2031</v>
      </c>
      <c r="F171" s="26">
        <f t="shared" si="10"/>
        <v>1</v>
      </c>
      <c r="G171" s="165">
        <v>47849</v>
      </c>
      <c r="H171" s="26" t="s">
        <v>292</v>
      </c>
      <c r="I171" s="26"/>
      <c r="J171" s="166">
        <v>4.8878071196059301</v>
      </c>
      <c r="K171" s="166">
        <v>0.17129999999999992</v>
      </c>
      <c r="L171" s="166">
        <v>5.0591071196059296</v>
      </c>
      <c r="M171" s="166">
        <v>4.8878071196059301</v>
      </c>
      <c r="N171" s="166">
        <v>1.0058187458141103</v>
      </c>
      <c r="O171" s="166">
        <v>5.8936258654200406</v>
      </c>
      <c r="P171" s="166">
        <v>5.3563197255973574</v>
      </c>
      <c r="Q171" s="166">
        <v>0.46818750000000003</v>
      </c>
      <c r="R171" s="166">
        <v>5.8245072255973573</v>
      </c>
      <c r="S171" s="26"/>
      <c r="T171" s="167">
        <f t="shared" si="11"/>
        <v>5.0439779882697389</v>
      </c>
    </row>
    <row r="172" spans="5:20">
      <c r="E172" s="26">
        <f t="shared" si="9"/>
        <v>2031</v>
      </c>
      <c r="F172" s="26">
        <f t="shared" si="10"/>
        <v>2</v>
      </c>
      <c r="G172" s="165">
        <v>47880</v>
      </c>
      <c r="H172" s="26" t="s">
        <v>293</v>
      </c>
      <c r="I172" s="26"/>
      <c r="J172" s="166">
        <v>4.9886443625912582</v>
      </c>
      <c r="K172" s="166">
        <v>0.17129999999999992</v>
      </c>
      <c r="L172" s="166">
        <v>5.1599443625912578</v>
      </c>
      <c r="M172" s="166">
        <v>4.9886443625912582</v>
      </c>
      <c r="N172" s="166">
        <v>1.0058187458141103</v>
      </c>
      <c r="O172" s="166">
        <v>5.9944631084053688</v>
      </c>
      <c r="P172" s="166">
        <v>5.4661937323364125</v>
      </c>
      <c r="Q172" s="166">
        <v>0.46818750000000003</v>
      </c>
      <c r="R172" s="166">
        <v>5.9343812323364125</v>
      </c>
      <c r="S172" s="26"/>
      <c r="T172" s="167">
        <f t="shared" si="11"/>
        <v>5.1478274858396427</v>
      </c>
    </row>
    <row r="173" spans="5:20">
      <c r="E173" s="26">
        <f t="shared" si="9"/>
        <v>2031</v>
      </c>
      <c r="F173" s="26">
        <f t="shared" si="10"/>
        <v>3</v>
      </c>
      <c r="G173" s="165">
        <v>47908</v>
      </c>
      <c r="H173" s="26" t="s">
        <v>294</v>
      </c>
      <c r="I173" s="26"/>
      <c r="J173" s="166">
        <v>4.4556611238008914</v>
      </c>
      <c r="K173" s="166">
        <v>0.17129999999999992</v>
      </c>
      <c r="L173" s="166">
        <v>4.626961123800891</v>
      </c>
      <c r="M173" s="166">
        <v>4.4556611238008914</v>
      </c>
      <c r="N173" s="166">
        <v>1.0058187458141103</v>
      </c>
      <c r="O173" s="166">
        <v>5.461479869615002</v>
      </c>
      <c r="P173" s="166">
        <v>4.8816280834682813</v>
      </c>
      <c r="Q173" s="166">
        <v>0.46818750000000003</v>
      </c>
      <c r="R173" s="166">
        <v>5.3498155834682812</v>
      </c>
      <c r="S173" s="26"/>
      <c r="T173" s="167">
        <f t="shared" si="11"/>
        <v>4.597650110356688</v>
      </c>
    </row>
    <row r="174" spans="5:20">
      <c r="E174" s="26">
        <f t="shared" si="9"/>
        <v>2031</v>
      </c>
      <c r="F174" s="26">
        <f t="shared" si="10"/>
        <v>4</v>
      </c>
      <c r="G174" s="165">
        <v>47939</v>
      </c>
      <c r="H174" s="26" t="s">
        <v>295</v>
      </c>
      <c r="I174" s="26"/>
      <c r="J174" s="166">
        <v>4.4493290579871241</v>
      </c>
      <c r="K174" s="166">
        <v>0.17129999999999992</v>
      </c>
      <c r="L174" s="166">
        <v>4.6206290579871236</v>
      </c>
      <c r="M174" s="166">
        <v>4.4493290579871241</v>
      </c>
      <c r="N174" s="166">
        <v>1.0058187458141103</v>
      </c>
      <c r="O174" s="166">
        <v>5.4551478038012347</v>
      </c>
      <c r="P174" s="166">
        <v>4.874130354726077</v>
      </c>
      <c r="Q174" s="166">
        <v>0.46818750000000003</v>
      </c>
      <c r="R174" s="166">
        <v>5.342317854726077</v>
      </c>
      <c r="S174" s="26"/>
      <c r="T174" s="167">
        <f t="shared" si="11"/>
        <v>4.5909294902334414</v>
      </c>
    </row>
    <row r="175" spans="5:20">
      <c r="E175" s="26">
        <f t="shared" si="9"/>
        <v>2031</v>
      </c>
      <c r="F175" s="26">
        <f t="shared" si="10"/>
        <v>5</v>
      </c>
      <c r="G175" s="165">
        <v>47969</v>
      </c>
      <c r="H175" s="26" t="s">
        <v>296</v>
      </c>
      <c r="I175" s="26"/>
      <c r="J175" s="166">
        <v>4.6808340719948003</v>
      </c>
      <c r="K175" s="166">
        <v>0.17129999999999992</v>
      </c>
      <c r="L175" s="166">
        <v>4.8521340719947998</v>
      </c>
      <c r="M175" s="166">
        <v>4.6808340719948003</v>
      </c>
      <c r="N175" s="166">
        <v>1.0058187458141103</v>
      </c>
      <c r="O175" s="166">
        <v>5.6866528178089109</v>
      </c>
      <c r="P175" s="166">
        <v>5.1271492099334885</v>
      </c>
      <c r="Q175" s="166">
        <v>0.46818750000000003</v>
      </c>
      <c r="R175" s="166">
        <v>5.5953367099334885</v>
      </c>
      <c r="S175" s="26"/>
      <c r="T175" s="167">
        <f t="shared" si="11"/>
        <v>4.8296057846410294</v>
      </c>
    </row>
    <row r="176" spans="5:20">
      <c r="E176" s="26">
        <f t="shared" si="9"/>
        <v>2031</v>
      </c>
      <c r="F176" s="26">
        <f t="shared" si="10"/>
        <v>6</v>
      </c>
      <c r="G176" s="165">
        <v>48000</v>
      </c>
      <c r="H176" s="26" t="s">
        <v>297</v>
      </c>
      <c r="I176" s="26"/>
      <c r="J176" s="166">
        <v>4.5331827895929671</v>
      </c>
      <c r="K176" s="166">
        <v>0.17129999999999992</v>
      </c>
      <c r="L176" s="166">
        <v>4.7044827895929666</v>
      </c>
      <c r="M176" s="166">
        <v>4.5331827895929671</v>
      </c>
      <c r="N176" s="166">
        <v>1.0058187458141103</v>
      </c>
      <c r="O176" s="166">
        <v>5.5390015354070776</v>
      </c>
      <c r="P176" s="166">
        <v>4.9638759819149056</v>
      </c>
      <c r="Q176" s="166">
        <v>0.46818750000000003</v>
      </c>
      <c r="R176" s="166">
        <v>5.4320634819149056</v>
      </c>
      <c r="S176" s="26"/>
      <c r="T176" s="167">
        <f t="shared" si="11"/>
        <v>4.6767471870336133</v>
      </c>
    </row>
    <row r="177" spans="5:20">
      <c r="E177" s="26">
        <f t="shared" si="9"/>
        <v>2031</v>
      </c>
      <c r="F177" s="26">
        <f t="shared" si="10"/>
        <v>7</v>
      </c>
      <c r="G177" s="165">
        <v>48030</v>
      </c>
      <c r="H177" s="26" t="s">
        <v>298</v>
      </c>
      <c r="I177" s="26"/>
      <c r="J177" s="166">
        <v>4.5785943007678052</v>
      </c>
      <c r="K177" s="166">
        <v>0.17129999999999992</v>
      </c>
      <c r="L177" s="166">
        <v>4.7498943007678047</v>
      </c>
      <c r="M177" s="166">
        <v>4.5785943007678052</v>
      </c>
      <c r="N177" s="166">
        <v>1.0058187458141103</v>
      </c>
      <c r="O177" s="166">
        <v>5.5844130465819157</v>
      </c>
      <c r="P177" s="166">
        <v>5.0128629020620084</v>
      </c>
      <c r="Q177" s="166">
        <v>0.46818750000000003</v>
      </c>
      <c r="R177" s="166">
        <v>5.4810504020620083</v>
      </c>
      <c r="S177" s="26"/>
      <c r="T177" s="167">
        <f t="shared" si="11"/>
        <v>4.7233505011992065</v>
      </c>
    </row>
    <row r="178" spans="5:20">
      <c r="E178" s="26">
        <f t="shared" si="9"/>
        <v>2031</v>
      </c>
      <c r="F178" s="26">
        <f t="shared" si="10"/>
        <v>8</v>
      </c>
      <c r="G178" s="165">
        <v>48061</v>
      </c>
      <c r="H178" s="26" t="s">
        <v>299</v>
      </c>
      <c r="I178" s="26"/>
      <c r="J178" s="166">
        <v>4.6138517130728385</v>
      </c>
      <c r="K178" s="166">
        <v>0.17129999999999992</v>
      </c>
      <c r="L178" s="166">
        <v>4.785151713072838</v>
      </c>
      <c r="M178" s="166">
        <v>4.6138517130728385</v>
      </c>
      <c r="N178" s="166">
        <v>1.0058187458141103</v>
      </c>
      <c r="O178" s="166">
        <v>5.619670458886949</v>
      </c>
      <c r="P178" s="166">
        <v>5.0507200252776023</v>
      </c>
      <c r="Q178" s="166">
        <v>0.46818750000000003</v>
      </c>
      <c r="R178" s="166">
        <v>5.5189075252776023</v>
      </c>
      <c r="S178" s="26"/>
      <c r="T178" s="167">
        <f t="shared" si="11"/>
        <v>4.7594744838077601</v>
      </c>
    </row>
    <row r="179" spans="5:20">
      <c r="E179" s="26">
        <f t="shared" si="9"/>
        <v>2031</v>
      </c>
      <c r="F179" s="26">
        <f t="shared" si="10"/>
        <v>9</v>
      </c>
      <c r="G179" s="165">
        <v>48092</v>
      </c>
      <c r="H179" s="26" t="s">
        <v>300</v>
      </c>
      <c r="I179" s="26"/>
      <c r="J179" s="166">
        <v>4.2040155059698687</v>
      </c>
      <c r="K179" s="166">
        <v>0.17129999999999992</v>
      </c>
      <c r="L179" s="166">
        <v>4.3753155059698683</v>
      </c>
      <c r="M179" s="166">
        <v>4.2040155059698687</v>
      </c>
      <c r="N179" s="166">
        <v>1.0058187458141103</v>
      </c>
      <c r="O179" s="166">
        <v>5.2098342517839793</v>
      </c>
      <c r="P179" s="166">
        <v>4.6014000942755411</v>
      </c>
      <c r="Q179" s="166">
        <v>0.46818750000000003</v>
      </c>
      <c r="R179" s="166">
        <v>5.0695875942755411</v>
      </c>
      <c r="S179" s="26"/>
      <c r="T179" s="167">
        <f t="shared" si="11"/>
        <v>4.3364770354050926</v>
      </c>
    </row>
    <row r="180" spans="5:20">
      <c r="E180" s="26">
        <f t="shared" si="9"/>
        <v>2031</v>
      </c>
      <c r="F180" s="26">
        <f t="shared" si="10"/>
        <v>10</v>
      </c>
      <c r="G180" s="165">
        <v>48122</v>
      </c>
      <c r="H180" s="26" t="s">
        <v>301</v>
      </c>
      <c r="I180" s="26"/>
      <c r="J180" s="166">
        <v>4.244743885499866</v>
      </c>
      <c r="K180" s="166">
        <v>0.17129999999999992</v>
      </c>
      <c r="L180" s="166">
        <v>4.4160438854998656</v>
      </c>
      <c r="M180" s="166">
        <v>4.244743885499866</v>
      </c>
      <c r="N180" s="166">
        <v>1.0058187458141103</v>
      </c>
      <c r="O180" s="166">
        <v>5.2505626313139766</v>
      </c>
      <c r="P180" s="166">
        <v>4.6452942678302822</v>
      </c>
      <c r="Q180" s="166">
        <v>0.46818750000000003</v>
      </c>
      <c r="R180" s="166">
        <v>5.1134817678302822</v>
      </c>
      <c r="S180" s="26"/>
      <c r="T180" s="167">
        <f t="shared" si="11"/>
        <v>4.3782606796100048</v>
      </c>
    </row>
    <row r="181" spans="5:20">
      <c r="E181" s="26">
        <f t="shared" si="9"/>
        <v>2031</v>
      </c>
      <c r="F181" s="26">
        <f t="shared" si="10"/>
        <v>11</v>
      </c>
      <c r="G181" s="165">
        <v>48153</v>
      </c>
      <c r="H181" s="26" t="s">
        <v>302</v>
      </c>
      <c r="I181" s="26"/>
      <c r="J181" s="166">
        <v>4.1659900480196299</v>
      </c>
      <c r="K181" s="166">
        <v>0.17129999999999992</v>
      </c>
      <c r="L181" s="166">
        <v>4.3372900480196295</v>
      </c>
      <c r="M181" s="166">
        <v>4.1659900480196299</v>
      </c>
      <c r="N181" s="166">
        <v>1.0058187458141103</v>
      </c>
      <c r="O181" s="166">
        <v>5.1718087938337405</v>
      </c>
      <c r="P181" s="166">
        <v>4.5584379243851387</v>
      </c>
      <c r="Q181" s="166">
        <v>0.46818750000000003</v>
      </c>
      <c r="R181" s="166">
        <v>5.0266254243851387</v>
      </c>
      <c r="S181" s="26"/>
      <c r="T181" s="167">
        <f t="shared" si="11"/>
        <v>4.2968060068081328</v>
      </c>
    </row>
    <row r="182" spans="5:20">
      <c r="E182" s="26">
        <f t="shared" si="9"/>
        <v>2031</v>
      </c>
      <c r="F182" s="26">
        <f t="shared" si="10"/>
        <v>12</v>
      </c>
      <c r="G182" s="165">
        <v>48183</v>
      </c>
      <c r="H182" s="26" t="s">
        <v>303</v>
      </c>
      <c r="I182" s="26"/>
      <c r="J182" s="166">
        <v>4.6050577222398772</v>
      </c>
      <c r="K182" s="166">
        <v>0.17129999999999992</v>
      </c>
      <c r="L182" s="166">
        <v>4.7763577222398768</v>
      </c>
      <c r="M182" s="166">
        <v>4.6050577222398772</v>
      </c>
      <c r="N182" s="166">
        <v>1.0058187458141103</v>
      </c>
      <c r="O182" s="166">
        <v>5.6108764680539878</v>
      </c>
      <c r="P182" s="166">
        <v>5.0381257024346553</v>
      </c>
      <c r="Q182" s="166">
        <v>0.46818750000000003</v>
      </c>
      <c r="R182" s="166">
        <v>5.5063132024346553</v>
      </c>
      <c r="S182" s="26"/>
      <c r="T182" s="167">
        <f t="shared" si="11"/>
        <v>4.7494137156381369</v>
      </c>
    </row>
    <row r="183" spans="5:20">
      <c r="E183" s="26">
        <f t="shared" si="9"/>
        <v>2032</v>
      </c>
      <c r="F183" s="26">
        <f t="shared" si="10"/>
        <v>1</v>
      </c>
      <c r="G183" s="165">
        <v>48214</v>
      </c>
      <c r="H183" s="26" t="s">
        <v>304</v>
      </c>
      <c r="I183" s="26"/>
      <c r="J183" s="166">
        <v>4.9982688830918365</v>
      </c>
      <c r="K183" s="166">
        <v>0.17129999999999992</v>
      </c>
      <c r="L183" s="166">
        <v>5.169568883091836</v>
      </c>
      <c r="M183" s="166">
        <v>4.9982688830918365</v>
      </c>
      <c r="N183" s="166">
        <v>1.0058187458141103</v>
      </c>
      <c r="O183" s="166">
        <v>6.004087628905947</v>
      </c>
      <c r="P183" s="166">
        <v>5.4653435092470417</v>
      </c>
      <c r="Q183" s="166">
        <v>0.46818750000000003</v>
      </c>
      <c r="R183" s="166">
        <v>5.9335310092470417</v>
      </c>
      <c r="S183" s="26"/>
      <c r="T183" s="167">
        <f t="shared" si="11"/>
        <v>5.1539604251435716</v>
      </c>
    </row>
    <row r="184" spans="5:20">
      <c r="E184" s="26">
        <f t="shared" si="9"/>
        <v>2032</v>
      </c>
      <c r="F184" s="26">
        <f t="shared" si="10"/>
        <v>2</v>
      </c>
      <c r="G184" s="165">
        <v>48245</v>
      </c>
      <c r="H184" s="26" t="s">
        <v>305</v>
      </c>
      <c r="I184" s="26"/>
      <c r="J184" s="166">
        <v>5.1015691023757359</v>
      </c>
      <c r="K184" s="166">
        <v>0.17129999999999992</v>
      </c>
      <c r="L184" s="166">
        <v>5.2728691023757355</v>
      </c>
      <c r="M184" s="166">
        <v>5.1015691023757359</v>
      </c>
      <c r="N184" s="166">
        <v>1.0058187458141103</v>
      </c>
      <c r="O184" s="166">
        <v>6.1073878481898465</v>
      </c>
      <c r="P184" s="166">
        <v>5.5774925515077278</v>
      </c>
      <c r="Q184" s="166">
        <v>0.46818750000000003</v>
      </c>
      <c r="R184" s="166">
        <v>6.0456800515077278</v>
      </c>
      <c r="S184" s="26"/>
      <c r="T184" s="167">
        <f t="shared" si="11"/>
        <v>5.2602102520863996</v>
      </c>
    </row>
    <row r="185" spans="5:20">
      <c r="E185" s="26">
        <f t="shared" si="9"/>
        <v>2032</v>
      </c>
      <c r="F185" s="26">
        <f t="shared" si="10"/>
        <v>3</v>
      </c>
      <c r="G185" s="165">
        <v>48274</v>
      </c>
      <c r="H185" s="26" t="s">
        <v>306</v>
      </c>
      <c r="I185" s="26"/>
      <c r="J185" s="166">
        <v>4.5566854258655116</v>
      </c>
      <c r="K185" s="166">
        <v>0.17129999999999992</v>
      </c>
      <c r="L185" s="166">
        <v>4.7279854258655112</v>
      </c>
      <c r="M185" s="166">
        <v>4.5566854258655116</v>
      </c>
      <c r="N185" s="166">
        <v>1.0058187458141103</v>
      </c>
      <c r="O185" s="166">
        <v>5.5625041716796222</v>
      </c>
      <c r="P185" s="166">
        <v>4.9810588794068558</v>
      </c>
      <c r="Q185" s="166">
        <v>0.46818750000000003</v>
      </c>
      <c r="R185" s="166">
        <v>5.4492463794068557</v>
      </c>
      <c r="S185" s="26"/>
      <c r="T185" s="167">
        <f t="shared" si="11"/>
        <v>4.698143243712626</v>
      </c>
    </row>
    <row r="186" spans="5:20">
      <c r="E186" s="26">
        <f t="shared" si="9"/>
        <v>2032</v>
      </c>
      <c r="F186" s="26">
        <f t="shared" si="10"/>
        <v>4</v>
      </c>
      <c r="G186" s="165">
        <v>48305</v>
      </c>
      <c r="H186" s="26" t="s">
        <v>307</v>
      </c>
      <c r="I186" s="26"/>
      <c r="J186" s="166">
        <v>4.5503738418487831</v>
      </c>
      <c r="K186" s="166">
        <v>0.17129999999999992</v>
      </c>
      <c r="L186" s="166">
        <v>4.7216738418487827</v>
      </c>
      <c r="M186" s="166">
        <v>4.5503738418487831</v>
      </c>
      <c r="N186" s="166">
        <v>1.0058187458141103</v>
      </c>
      <c r="O186" s="166">
        <v>5.5561925876628937</v>
      </c>
      <c r="P186" s="166">
        <v>4.973442867021288</v>
      </c>
      <c r="Q186" s="166">
        <v>0.46818750000000003</v>
      </c>
      <c r="R186" s="166">
        <v>5.441630367021288</v>
      </c>
      <c r="S186" s="26"/>
      <c r="T186" s="167">
        <f t="shared" si="11"/>
        <v>4.6913968502396175</v>
      </c>
    </row>
    <row r="187" spans="5:20">
      <c r="E187" s="26">
        <f t="shared" si="9"/>
        <v>2032</v>
      </c>
      <c r="F187" s="26">
        <f t="shared" si="10"/>
        <v>5</v>
      </c>
      <c r="G187" s="165">
        <v>48335</v>
      </c>
      <c r="H187" s="26" t="s">
        <v>308</v>
      </c>
      <c r="I187" s="26"/>
      <c r="J187" s="166">
        <v>4.7873088660736691</v>
      </c>
      <c r="K187" s="166">
        <v>0.17129999999999992</v>
      </c>
      <c r="L187" s="166">
        <v>4.9586088660736687</v>
      </c>
      <c r="M187" s="166">
        <v>4.7873088660736691</v>
      </c>
      <c r="N187" s="166">
        <v>1.0058187458141103</v>
      </c>
      <c r="O187" s="166">
        <v>5.7931276118877797</v>
      </c>
      <c r="P187" s="166">
        <v>5.231653302177488</v>
      </c>
      <c r="Q187" s="166">
        <v>0.46818750000000003</v>
      </c>
      <c r="R187" s="166">
        <v>5.699840802177488</v>
      </c>
      <c r="S187" s="26"/>
      <c r="T187" s="167">
        <f t="shared" si="11"/>
        <v>4.9354236781082754</v>
      </c>
    </row>
    <row r="188" spans="5:20">
      <c r="E188" s="26">
        <f t="shared" si="9"/>
        <v>2032</v>
      </c>
      <c r="F188" s="26">
        <f t="shared" si="10"/>
        <v>6</v>
      </c>
      <c r="G188" s="165">
        <v>48366</v>
      </c>
      <c r="H188" s="26" t="s">
        <v>309</v>
      </c>
      <c r="I188" s="26"/>
      <c r="J188" s="166">
        <v>4.6368267400715952</v>
      </c>
      <c r="K188" s="166">
        <v>0.17129999999999992</v>
      </c>
      <c r="L188" s="166">
        <v>4.8081267400715948</v>
      </c>
      <c r="M188" s="166">
        <v>4.6368267400715952</v>
      </c>
      <c r="N188" s="166">
        <v>1.0058187458141103</v>
      </c>
      <c r="O188" s="166">
        <v>5.6426454858857058</v>
      </c>
      <c r="P188" s="166">
        <v>5.0641780552862512</v>
      </c>
      <c r="Q188" s="166">
        <v>0.46818750000000003</v>
      </c>
      <c r="R188" s="166">
        <v>5.5323655552862512</v>
      </c>
      <c r="S188" s="26"/>
      <c r="T188" s="167">
        <f t="shared" si="11"/>
        <v>4.7792771784764803</v>
      </c>
    </row>
    <row r="189" spans="5:20">
      <c r="E189" s="26">
        <f t="shared" si="9"/>
        <v>2032</v>
      </c>
      <c r="F189" s="26">
        <f t="shared" si="10"/>
        <v>7</v>
      </c>
      <c r="G189" s="165">
        <v>48396</v>
      </c>
      <c r="H189" s="26" t="s">
        <v>310</v>
      </c>
      <c r="I189" s="26"/>
      <c r="J189" s="166">
        <v>4.6835056550265888</v>
      </c>
      <c r="K189" s="166">
        <v>0.17129999999999992</v>
      </c>
      <c r="L189" s="166">
        <v>4.8548056550265883</v>
      </c>
      <c r="M189" s="166">
        <v>4.6835056550265888</v>
      </c>
      <c r="N189" s="166">
        <v>1.0058187458141103</v>
      </c>
      <c r="O189" s="166">
        <v>5.6893244008406993</v>
      </c>
      <c r="P189" s="166">
        <v>5.1140373296217501</v>
      </c>
      <c r="Q189" s="166">
        <v>0.46818750000000003</v>
      </c>
      <c r="R189" s="166">
        <v>5.58222482962175</v>
      </c>
      <c r="S189" s="26"/>
      <c r="T189" s="167">
        <f t="shared" si="11"/>
        <v>4.8270162132249759</v>
      </c>
    </row>
    <row r="190" spans="5:20">
      <c r="E190" s="26">
        <f t="shared" si="9"/>
        <v>2032</v>
      </c>
      <c r="F190" s="26">
        <f t="shared" si="10"/>
        <v>8</v>
      </c>
      <c r="G190" s="165">
        <v>48427</v>
      </c>
      <c r="H190" s="26" t="s">
        <v>311</v>
      </c>
      <c r="I190" s="26"/>
      <c r="J190" s="166">
        <v>4.719801714119841</v>
      </c>
      <c r="K190" s="166">
        <v>0.17129999999999992</v>
      </c>
      <c r="L190" s="166">
        <v>4.8911017141198405</v>
      </c>
      <c r="M190" s="166">
        <v>4.719801714119841</v>
      </c>
      <c r="N190" s="166">
        <v>1.0058187458141103</v>
      </c>
      <c r="O190" s="166">
        <v>5.7256204599339515</v>
      </c>
      <c r="P190" s="166">
        <v>5.1525401703942428</v>
      </c>
      <c r="Q190" s="166">
        <v>0.46818750000000003</v>
      </c>
      <c r="R190" s="166">
        <v>5.6207276703942428</v>
      </c>
      <c r="S190" s="26"/>
      <c r="T190" s="167">
        <f t="shared" si="11"/>
        <v>4.8640478662113082</v>
      </c>
    </row>
    <row r="191" spans="5:20">
      <c r="E191" s="26">
        <f t="shared" si="9"/>
        <v>2032</v>
      </c>
      <c r="F191" s="26">
        <f t="shared" si="10"/>
        <v>9</v>
      </c>
      <c r="G191" s="165">
        <v>48458</v>
      </c>
      <c r="H191" s="26" t="s">
        <v>312</v>
      </c>
      <c r="I191" s="26"/>
      <c r="J191" s="166">
        <v>4.3007644109329153</v>
      </c>
      <c r="K191" s="166">
        <v>0.17129999999999992</v>
      </c>
      <c r="L191" s="166">
        <v>4.4720644109329148</v>
      </c>
      <c r="M191" s="166">
        <v>4.3007644109329153</v>
      </c>
      <c r="N191" s="166">
        <v>1.0058187458141103</v>
      </c>
      <c r="O191" s="166">
        <v>5.3065831567470259</v>
      </c>
      <c r="P191" s="166">
        <v>4.6940543662108283</v>
      </c>
      <c r="Q191" s="166">
        <v>0.46818750000000003</v>
      </c>
      <c r="R191" s="166">
        <v>5.1622418662108283</v>
      </c>
      <c r="S191" s="26"/>
      <c r="T191" s="167">
        <f t="shared" si="11"/>
        <v>4.4318610626922199</v>
      </c>
    </row>
    <row r="192" spans="5:20">
      <c r="E192" s="26">
        <f t="shared" si="9"/>
        <v>2032</v>
      </c>
      <c r="F192" s="26">
        <f t="shared" si="10"/>
        <v>10</v>
      </c>
      <c r="G192" s="165">
        <v>48488</v>
      </c>
      <c r="H192" s="26" t="s">
        <v>313</v>
      </c>
      <c r="I192" s="26"/>
      <c r="J192" s="166">
        <v>4.3426421701642175</v>
      </c>
      <c r="K192" s="166">
        <v>0.17129999999999992</v>
      </c>
      <c r="L192" s="166">
        <v>4.5139421701642171</v>
      </c>
      <c r="M192" s="166">
        <v>4.3426421701642175</v>
      </c>
      <c r="N192" s="166">
        <v>1.0058187458141103</v>
      </c>
      <c r="O192" s="166">
        <v>5.3484609159783281</v>
      </c>
      <c r="P192" s="166">
        <v>4.7387236035145115</v>
      </c>
      <c r="Q192" s="166">
        <v>0.46818750000000003</v>
      </c>
      <c r="R192" s="166">
        <v>5.2069111035145115</v>
      </c>
      <c r="S192" s="26"/>
      <c r="T192" s="167">
        <f t="shared" si="11"/>
        <v>4.4746693146143155</v>
      </c>
    </row>
    <row r="193" spans="5:20">
      <c r="E193" s="26">
        <f t="shared" si="9"/>
        <v>2032</v>
      </c>
      <c r="F193" s="26">
        <f t="shared" si="10"/>
        <v>11</v>
      </c>
      <c r="G193" s="165">
        <v>48519</v>
      </c>
      <c r="H193" s="26" t="s">
        <v>314</v>
      </c>
      <c r="I193" s="26"/>
      <c r="J193" s="166">
        <v>4.2622800286819649</v>
      </c>
      <c r="K193" s="166">
        <v>0.17129999999999992</v>
      </c>
      <c r="L193" s="166">
        <v>4.4335800286819644</v>
      </c>
      <c r="M193" s="166">
        <v>4.2622800286819649</v>
      </c>
      <c r="N193" s="166">
        <v>1.0058187458141103</v>
      </c>
      <c r="O193" s="166">
        <v>5.2680987744960754</v>
      </c>
      <c r="P193" s="166">
        <v>4.6500136142666149</v>
      </c>
      <c r="Q193" s="166">
        <v>0.46818750000000003</v>
      </c>
      <c r="R193" s="166">
        <v>5.1182011142666148</v>
      </c>
      <c r="S193" s="26"/>
      <c r="T193" s="167">
        <f t="shared" si="11"/>
        <v>4.3915245572101815</v>
      </c>
    </row>
    <row r="194" spans="5:20">
      <c r="E194" s="26">
        <f t="shared" si="9"/>
        <v>2032</v>
      </c>
      <c r="F194" s="26">
        <f t="shared" si="10"/>
        <v>12</v>
      </c>
      <c r="G194" s="165">
        <v>48549</v>
      </c>
      <c r="H194" s="26" t="s">
        <v>315</v>
      </c>
      <c r="I194" s="26"/>
      <c r="J194" s="166">
        <v>4.7117258521468379</v>
      </c>
      <c r="K194" s="166">
        <v>0.17129999999999992</v>
      </c>
      <c r="L194" s="166">
        <v>4.8830258521468375</v>
      </c>
      <c r="M194" s="166">
        <v>4.7117258521468379</v>
      </c>
      <c r="N194" s="166">
        <v>1.0058187458141103</v>
      </c>
      <c r="O194" s="166">
        <v>5.7175445979609485</v>
      </c>
      <c r="P194" s="166">
        <v>5.1392200375461687</v>
      </c>
      <c r="Q194" s="166">
        <v>0.46818750000000003</v>
      </c>
      <c r="R194" s="166">
        <v>5.6074075375461687</v>
      </c>
      <c r="S194" s="26"/>
      <c r="T194" s="167">
        <f t="shared" si="11"/>
        <v>4.8542239139466146</v>
      </c>
    </row>
    <row r="195" spans="5:20">
      <c r="E195" s="26">
        <f t="shared" si="9"/>
        <v>2033</v>
      </c>
      <c r="F195" s="26">
        <f t="shared" si="10"/>
        <v>1</v>
      </c>
      <c r="G195" s="165">
        <v>48580</v>
      </c>
      <c r="H195" s="26" t="s">
        <v>316</v>
      </c>
      <c r="I195" s="26"/>
      <c r="J195" s="166">
        <v>5.1152658898495762</v>
      </c>
      <c r="K195" s="166">
        <v>0.17129999999999992</v>
      </c>
      <c r="L195" s="166">
        <v>5.2865658898495758</v>
      </c>
      <c r="M195" s="166">
        <v>5.1152658898495762</v>
      </c>
      <c r="N195" s="166">
        <v>1.0058187458141103</v>
      </c>
      <c r="O195" s="166">
        <v>6.1210846356636868</v>
      </c>
      <c r="P195" s="166">
        <v>5.5745346692584494</v>
      </c>
      <c r="Q195" s="166">
        <v>0.46818750000000003</v>
      </c>
      <c r="R195" s="166">
        <v>6.0427221692584494</v>
      </c>
      <c r="S195" s="26"/>
      <c r="T195" s="167">
        <f t="shared" si="11"/>
        <v>5.268355482985867</v>
      </c>
    </row>
    <row r="196" spans="5:20">
      <c r="E196" s="26">
        <f t="shared" ref="E196:E242" si="12">YEAR(G196)</f>
        <v>2033</v>
      </c>
      <c r="F196" s="26">
        <f t="shared" ref="F196:F242" si="13">MONTH(G196)</f>
        <v>2</v>
      </c>
      <c r="G196" s="165">
        <v>48611</v>
      </c>
      <c r="H196" s="26" t="s">
        <v>317</v>
      </c>
      <c r="I196" s="26"/>
      <c r="J196" s="166">
        <v>5.2212333849923356</v>
      </c>
      <c r="K196" s="166">
        <v>0.17129999999999992</v>
      </c>
      <c r="L196" s="166">
        <v>5.3925333849923351</v>
      </c>
      <c r="M196" s="166">
        <v>5.2212333849923356</v>
      </c>
      <c r="N196" s="166">
        <v>1.0058187458141103</v>
      </c>
      <c r="O196" s="166">
        <v>6.2270521308064462</v>
      </c>
      <c r="P196" s="166">
        <v>5.6887962743084639</v>
      </c>
      <c r="Q196" s="166">
        <v>0.46818750000000003</v>
      </c>
      <c r="R196" s="166">
        <v>6.1569837743084639</v>
      </c>
      <c r="S196" s="26"/>
      <c r="T196" s="167">
        <f t="shared" ref="T196:T242" si="14">AVERAGE(J196,M196,P196)</f>
        <v>5.3770876814310453</v>
      </c>
    </row>
    <row r="197" spans="5:20">
      <c r="E197" s="26">
        <f t="shared" si="12"/>
        <v>2033</v>
      </c>
      <c r="F197" s="26">
        <f t="shared" si="13"/>
        <v>3</v>
      </c>
      <c r="G197" s="165">
        <v>48639</v>
      </c>
      <c r="H197" s="26" t="s">
        <v>318</v>
      </c>
      <c r="I197" s="26"/>
      <c r="J197" s="166">
        <v>4.663791245775359</v>
      </c>
      <c r="K197" s="166">
        <v>0.17129999999999992</v>
      </c>
      <c r="L197" s="166">
        <v>4.8350912457753585</v>
      </c>
      <c r="M197" s="166">
        <v>4.663791245775359</v>
      </c>
      <c r="N197" s="166">
        <v>1.0058187458141103</v>
      </c>
      <c r="O197" s="166">
        <v>5.6696099915894695</v>
      </c>
      <c r="P197" s="166">
        <v>5.0803459269857907</v>
      </c>
      <c r="Q197" s="166">
        <v>0.46818750000000003</v>
      </c>
      <c r="R197" s="166">
        <v>5.5485334269857907</v>
      </c>
      <c r="S197" s="26"/>
      <c r="T197" s="167">
        <f t="shared" si="14"/>
        <v>4.8026428061788362</v>
      </c>
    </row>
    <row r="198" spans="5:20">
      <c r="E198" s="26">
        <f t="shared" si="12"/>
        <v>2033</v>
      </c>
      <c r="F198" s="26">
        <f t="shared" si="13"/>
        <v>4</v>
      </c>
      <c r="G198" s="165">
        <v>48670</v>
      </c>
      <c r="H198" s="26" t="s">
        <v>319</v>
      </c>
      <c r="I198" s="26"/>
      <c r="J198" s="166">
        <v>4.6575534064361959</v>
      </c>
      <c r="K198" s="166">
        <v>0.17129999999999992</v>
      </c>
      <c r="L198" s="166">
        <v>4.8288534064361954</v>
      </c>
      <c r="M198" s="166">
        <v>4.6575534064361959</v>
      </c>
      <c r="N198" s="166">
        <v>1.0058187458141103</v>
      </c>
      <c r="O198" s="166">
        <v>5.6633721522503064</v>
      </c>
      <c r="P198" s="166">
        <v>5.0724639877992947</v>
      </c>
      <c r="Q198" s="166">
        <v>0.46818750000000003</v>
      </c>
      <c r="R198" s="166">
        <v>5.5406514877992947</v>
      </c>
      <c r="S198" s="26"/>
      <c r="T198" s="167">
        <f t="shared" si="14"/>
        <v>4.7958569335572285</v>
      </c>
    </row>
    <row r="199" spans="5:20">
      <c r="E199" s="26">
        <f t="shared" si="12"/>
        <v>2033</v>
      </c>
      <c r="F199" s="26">
        <f t="shared" si="13"/>
        <v>5</v>
      </c>
      <c r="G199" s="165">
        <v>48700</v>
      </c>
      <c r="H199" s="26" t="s">
        <v>320</v>
      </c>
      <c r="I199" s="26"/>
      <c r="J199" s="166">
        <v>4.9003027380319368</v>
      </c>
      <c r="K199" s="166">
        <v>0.17129999999999992</v>
      </c>
      <c r="L199" s="166">
        <v>5.0716027380319364</v>
      </c>
      <c r="M199" s="166">
        <v>4.9003027380319368</v>
      </c>
      <c r="N199" s="166">
        <v>1.0058187458141103</v>
      </c>
      <c r="O199" s="166">
        <v>5.9061214838460474</v>
      </c>
      <c r="P199" s="166">
        <v>5.3356953749589193</v>
      </c>
      <c r="Q199" s="166">
        <v>0.46818750000000003</v>
      </c>
      <c r="R199" s="166">
        <v>5.8038828749589193</v>
      </c>
      <c r="S199" s="26"/>
      <c r="T199" s="167">
        <f t="shared" si="14"/>
        <v>5.0454336170075971</v>
      </c>
    </row>
    <row r="200" spans="5:20">
      <c r="E200" s="26">
        <f t="shared" si="12"/>
        <v>2033</v>
      </c>
      <c r="F200" s="26">
        <f t="shared" si="13"/>
        <v>6</v>
      </c>
      <c r="G200" s="165">
        <v>48731</v>
      </c>
      <c r="H200" s="26" t="s">
        <v>321</v>
      </c>
      <c r="I200" s="26"/>
      <c r="J200" s="166">
        <v>4.7459942731585265</v>
      </c>
      <c r="K200" s="166">
        <v>0.17129999999999992</v>
      </c>
      <c r="L200" s="166">
        <v>4.9172942731585261</v>
      </c>
      <c r="M200" s="166">
        <v>4.7459942731585265</v>
      </c>
      <c r="N200" s="166">
        <v>1.0058187458141103</v>
      </c>
      <c r="O200" s="166">
        <v>5.7518130189726371</v>
      </c>
      <c r="P200" s="166">
        <v>5.1673630941744237</v>
      </c>
      <c r="Q200" s="166">
        <v>0.46818750000000003</v>
      </c>
      <c r="R200" s="166">
        <v>5.6355505941744237</v>
      </c>
      <c r="S200" s="26"/>
      <c r="T200" s="167">
        <f t="shared" si="14"/>
        <v>4.886450546830492</v>
      </c>
    </row>
    <row r="201" spans="5:20">
      <c r="E201" s="26">
        <f t="shared" si="12"/>
        <v>2033</v>
      </c>
      <c r="F201" s="26">
        <f t="shared" si="13"/>
        <v>7</v>
      </c>
      <c r="G201" s="165">
        <v>48761</v>
      </c>
      <c r="H201" s="26" t="s">
        <v>322</v>
      </c>
      <c r="I201" s="26"/>
      <c r="J201" s="166">
        <v>4.7939162307942347</v>
      </c>
      <c r="K201" s="166">
        <v>0.17129999999999992</v>
      </c>
      <c r="L201" s="166">
        <v>4.9652162307942342</v>
      </c>
      <c r="M201" s="166">
        <v>4.7939162307942347</v>
      </c>
      <c r="N201" s="166">
        <v>1.0058187458141103</v>
      </c>
      <c r="O201" s="166">
        <v>5.7997349766083452</v>
      </c>
      <c r="P201" s="166">
        <v>5.2185565388007058</v>
      </c>
      <c r="Q201" s="166">
        <v>0.46818750000000003</v>
      </c>
      <c r="R201" s="166">
        <v>5.6867440388007058</v>
      </c>
      <c r="S201" s="26"/>
      <c r="T201" s="167">
        <f t="shared" si="14"/>
        <v>4.9354630001297251</v>
      </c>
    </row>
    <row r="202" spans="5:20">
      <c r="E202" s="26">
        <f t="shared" si="12"/>
        <v>2033</v>
      </c>
      <c r="F202" s="26">
        <f t="shared" si="13"/>
        <v>8</v>
      </c>
      <c r="G202" s="165">
        <v>48792</v>
      </c>
      <c r="H202" s="26" t="s">
        <v>323</v>
      </c>
      <c r="I202" s="26"/>
      <c r="J202" s="166">
        <v>4.8312130204733137</v>
      </c>
      <c r="K202" s="166">
        <v>0.17129999999999992</v>
      </c>
      <c r="L202" s="166">
        <v>5.0025130204733133</v>
      </c>
      <c r="M202" s="166">
        <v>4.8312130204733137</v>
      </c>
      <c r="N202" s="166">
        <v>1.0058187458141103</v>
      </c>
      <c r="O202" s="166">
        <v>5.8370317662874243</v>
      </c>
      <c r="P202" s="166">
        <v>5.2581668797580026</v>
      </c>
      <c r="Q202" s="166">
        <v>0.46818750000000003</v>
      </c>
      <c r="R202" s="166">
        <v>5.7263543797580025</v>
      </c>
      <c r="S202" s="26"/>
      <c r="T202" s="167">
        <f t="shared" si="14"/>
        <v>4.9735309735682103</v>
      </c>
    </row>
    <row r="203" spans="5:20">
      <c r="E203" s="26">
        <f t="shared" si="12"/>
        <v>2033</v>
      </c>
      <c r="F203" s="26">
        <f t="shared" si="13"/>
        <v>9</v>
      </c>
      <c r="G203" s="165">
        <v>48823</v>
      </c>
      <c r="H203" s="26" t="s">
        <v>324</v>
      </c>
      <c r="I203" s="26"/>
      <c r="J203" s="166">
        <v>4.4024164153796388</v>
      </c>
      <c r="K203" s="166">
        <v>0.17129999999999992</v>
      </c>
      <c r="L203" s="166">
        <v>4.5737164153796384</v>
      </c>
      <c r="M203" s="166">
        <v>4.4024164153796388</v>
      </c>
      <c r="N203" s="166">
        <v>1.0058187458141103</v>
      </c>
      <c r="O203" s="166">
        <v>5.4082351611937494</v>
      </c>
      <c r="P203" s="166">
        <v>4.7905741489125129</v>
      </c>
      <c r="Q203" s="166">
        <v>0.46818750000000003</v>
      </c>
      <c r="R203" s="166">
        <v>5.2587616489125129</v>
      </c>
      <c r="S203" s="26"/>
      <c r="T203" s="167">
        <f t="shared" si="14"/>
        <v>4.5318023265572629</v>
      </c>
    </row>
    <row r="204" spans="5:20">
      <c r="E204" s="26">
        <f t="shared" si="12"/>
        <v>2033</v>
      </c>
      <c r="F204" s="26">
        <f t="shared" si="13"/>
        <v>10</v>
      </c>
      <c r="G204" s="165">
        <v>48853</v>
      </c>
      <c r="H204" s="26" t="s">
        <v>325</v>
      </c>
      <c r="I204" s="26"/>
      <c r="J204" s="166">
        <v>4.4454172958704286</v>
      </c>
      <c r="K204" s="166">
        <v>0.17129999999999992</v>
      </c>
      <c r="L204" s="166">
        <v>4.6167172958704281</v>
      </c>
      <c r="M204" s="166">
        <v>4.4454172958704286</v>
      </c>
      <c r="N204" s="166">
        <v>1.0058187458141103</v>
      </c>
      <c r="O204" s="166">
        <v>5.4512360416845391</v>
      </c>
      <c r="P204" s="166">
        <v>4.8364565957151875</v>
      </c>
      <c r="Q204" s="166">
        <v>0.46818750000000003</v>
      </c>
      <c r="R204" s="166">
        <v>5.3046440957151875</v>
      </c>
      <c r="S204" s="26"/>
      <c r="T204" s="167">
        <f t="shared" si="14"/>
        <v>4.5757637291520146</v>
      </c>
    </row>
    <row r="205" spans="5:20">
      <c r="E205" s="26">
        <f t="shared" si="12"/>
        <v>2033</v>
      </c>
      <c r="F205" s="26">
        <f t="shared" si="13"/>
        <v>11</v>
      </c>
      <c r="G205" s="165">
        <v>48884</v>
      </c>
      <c r="H205" s="26" t="s">
        <v>326</v>
      </c>
      <c r="I205" s="26"/>
      <c r="J205" s="166">
        <v>4.3632840183949408</v>
      </c>
      <c r="K205" s="166">
        <v>0.17129999999999992</v>
      </c>
      <c r="L205" s="166">
        <v>4.5345840183949404</v>
      </c>
      <c r="M205" s="166">
        <v>4.3632840183949408</v>
      </c>
      <c r="N205" s="166">
        <v>1.0058187458141103</v>
      </c>
      <c r="O205" s="166">
        <v>5.3691027642090514</v>
      </c>
      <c r="P205" s="166">
        <v>4.7462061571350613</v>
      </c>
      <c r="Q205" s="166">
        <v>0.46818750000000003</v>
      </c>
      <c r="R205" s="166">
        <v>5.2143936571350613</v>
      </c>
      <c r="S205" s="26"/>
      <c r="T205" s="167">
        <f t="shared" si="14"/>
        <v>4.490924731308314</v>
      </c>
    </row>
    <row r="206" spans="5:20">
      <c r="E206" s="26">
        <f t="shared" si="12"/>
        <v>2033</v>
      </c>
      <c r="F206" s="26">
        <f t="shared" si="13"/>
        <v>12</v>
      </c>
      <c r="G206" s="165">
        <v>48914</v>
      </c>
      <c r="H206" s="26" t="s">
        <v>327</v>
      </c>
      <c r="I206" s="26"/>
      <c r="J206" s="166">
        <v>4.8235248849398786</v>
      </c>
      <c r="K206" s="166">
        <v>0.17129999999999992</v>
      </c>
      <c r="L206" s="166">
        <v>4.9948248849398782</v>
      </c>
      <c r="M206" s="166">
        <v>4.8235248849398786</v>
      </c>
      <c r="N206" s="166">
        <v>1.0058187458141103</v>
      </c>
      <c r="O206" s="166">
        <v>5.8293436307539892</v>
      </c>
      <c r="P206" s="166">
        <v>5.2458520366259478</v>
      </c>
      <c r="Q206" s="166">
        <v>0.46818750000000003</v>
      </c>
      <c r="R206" s="166">
        <v>5.7140395366259478</v>
      </c>
      <c r="S206" s="26"/>
      <c r="T206" s="167">
        <f t="shared" si="14"/>
        <v>4.9643006021685681</v>
      </c>
    </row>
    <row r="207" spans="5:20">
      <c r="E207" s="26">
        <f t="shared" si="12"/>
        <v>2034</v>
      </c>
      <c r="F207" s="26">
        <f t="shared" si="13"/>
        <v>1</v>
      </c>
      <c r="G207" s="165">
        <v>48945</v>
      </c>
      <c r="H207" s="26" t="s">
        <v>328</v>
      </c>
      <c r="I207" s="26"/>
      <c r="J207" s="166">
        <v>5.2366060392563494</v>
      </c>
      <c r="K207" s="166">
        <v>0.17129999999999992</v>
      </c>
      <c r="L207" s="166">
        <v>5.4079060392563489</v>
      </c>
      <c r="M207" s="166">
        <v>5.2366060392563494</v>
      </c>
      <c r="N207" s="166">
        <v>1.0058187458141103</v>
      </c>
      <c r="O207" s="166">
        <v>6.2424247850704599</v>
      </c>
      <c r="P207" s="166">
        <v>5.6905677822414917</v>
      </c>
      <c r="Q207" s="166">
        <v>0.46818750000000003</v>
      </c>
      <c r="R207" s="166">
        <v>6.1587552822414917</v>
      </c>
      <c r="S207" s="26"/>
      <c r="T207" s="167">
        <f t="shared" si="14"/>
        <v>5.3879266202513962</v>
      </c>
    </row>
    <row r="208" spans="5:20">
      <c r="E208" s="26">
        <f t="shared" si="12"/>
        <v>2034</v>
      </c>
      <c r="F208" s="26">
        <f t="shared" si="13"/>
        <v>2</v>
      </c>
      <c r="G208" s="165">
        <v>48976</v>
      </c>
      <c r="H208" s="26" t="s">
        <v>329</v>
      </c>
      <c r="I208" s="26"/>
      <c r="J208" s="166">
        <v>5.3452440982396014</v>
      </c>
      <c r="K208" s="166">
        <v>0.17129999999999992</v>
      </c>
      <c r="L208" s="166">
        <v>5.516544098239601</v>
      </c>
      <c r="M208" s="166">
        <v>5.3452440982396014</v>
      </c>
      <c r="N208" s="166">
        <v>1.0058187458141103</v>
      </c>
      <c r="O208" s="166">
        <v>6.351062844053712</v>
      </c>
      <c r="P208" s="166">
        <v>5.8075547399922902</v>
      </c>
      <c r="Q208" s="166">
        <v>0.46818750000000003</v>
      </c>
      <c r="R208" s="166">
        <v>6.2757422399922902</v>
      </c>
      <c r="S208" s="26"/>
      <c r="T208" s="167">
        <f t="shared" si="14"/>
        <v>5.4993476454904977</v>
      </c>
    </row>
    <row r="209" spans="5:20">
      <c r="E209" s="26">
        <f t="shared" si="12"/>
        <v>2034</v>
      </c>
      <c r="F209" s="26">
        <f t="shared" si="13"/>
        <v>3</v>
      </c>
      <c r="G209" s="165">
        <v>49004</v>
      </c>
      <c r="H209" s="26" t="s">
        <v>330</v>
      </c>
      <c r="I209" s="26"/>
      <c r="J209" s="166">
        <v>4.7747020722471349</v>
      </c>
      <c r="K209" s="166">
        <v>0.17129999999999992</v>
      </c>
      <c r="L209" s="166">
        <v>4.9460020722471345</v>
      </c>
      <c r="M209" s="166">
        <v>4.7747020722471349</v>
      </c>
      <c r="N209" s="166">
        <v>1.0058187458141103</v>
      </c>
      <c r="O209" s="166">
        <v>5.7805208180612455</v>
      </c>
      <c r="P209" s="166">
        <v>5.1867123066611667</v>
      </c>
      <c r="Q209" s="166">
        <v>0.46818750000000003</v>
      </c>
      <c r="R209" s="166">
        <v>5.6548998066611667</v>
      </c>
      <c r="S209" s="26"/>
      <c r="T209" s="167">
        <f t="shared" si="14"/>
        <v>4.9120388170518119</v>
      </c>
    </row>
    <row r="210" spans="5:20">
      <c r="E210" s="26">
        <f t="shared" si="12"/>
        <v>2034</v>
      </c>
      <c r="F210" s="26">
        <f t="shared" si="13"/>
        <v>4</v>
      </c>
      <c r="G210" s="165">
        <v>49035</v>
      </c>
      <c r="H210" s="26" t="s">
        <v>331</v>
      </c>
      <c r="I210" s="26"/>
      <c r="J210" s="166">
        <v>4.7684556616809335</v>
      </c>
      <c r="K210" s="166">
        <v>0.17129999999999992</v>
      </c>
      <c r="L210" s="166">
        <v>4.9397556616809331</v>
      </c>
      <c r="M210" s="166">
        <v>4.7684556616809335</v>
      </c>
      <c r="N210" s="166">
        <v>1.0058187458141103</v>
      </c>
      <c r="O210" s="166">
        <v>5.7742744074950441</v>
      </c>
      <c r="P210" s="166">
        <v>5.178974630983638</v>
      </c>
      <c r="Q210" s="166">
        <v>0.46818750000000003</v>
      </c>
      <c r="R210" s="166">
        <v>5.647162130983638</v>
      </c>
      <c r="S210" s="26"/>
      <c r="T210" s="167">
        <f t="shared" si="14"/>
        <v>4.9052953181151686</v>
      </c>
    </row>
    <row r="211" spans="5:20">
      <c r="E211" s="26">
        <f t="shared" si="12"/>
        <v>2034</v>
      </c>
      <c r="F211" s="26">
        <f t="shared" si="13"/>
        <v>5</v>
      </c>
      <c r="G211" s="165">
        <v>49065</v>
      </c>
      <c r="H211" s="26" t="s">
        <v>332</v>
      </c>
      <c r="I211" s="26"/>
      <c r="J211" s="166">
        <v>5.0171321258094723</v>
      </c>
      <c r="K211" s="166">
        <v>0.17129999999999992</v>
      </c>
      <c r="L211" s="166">
        <v>5.1884321258094719</v>
      </c>
      <c r="M211" s="166">
        <v>5.0171321258094723</v>
      </c>
      <c r="N211" s="166">
        <v>1.0058187458141103</v>
      </c>
      <c r="O211" s="166">
        <v>6.0229508716235829</v>
      </c>
      <c r="P211" s="166">
        <v>5.4480585684348162</v>
      </c>
      <c r="Q211" s="166">
        <v>0.46818750000000003</v>
      </c>
      <c r="R211" s="166">
        <v>5.9162460684348162</v>
      </c>
      <c r="S211" s="26"/>
      <c r="T211" s="167">
        <f t="shared" si="14"/>
        <v>5.1607742733512536</v>
      </c>
    </row>
    <row r="212" spans="5:20">
      <c r="E212" s="26">
        <f t="shared" si="12"/>
        <v>2034</v>
      </c>
      <c r="F212" s="26">
        <f t="shared" si="13"/>
        <v>6</v>
      </c>
      <c r="G212" s="165">
        <v>49096</v>
      </c>
      <c r="H212" s="26" t="s">
        <v>333</v>
      </c>
      <c r="I212" s="26"/>
      <c r="J212" s="166">
        <v>4.8592454537778371</v>
      </c>
      <c r="K212" s="166">
        <v>0.17129999999999992</v>
      </c>
      <c r="L212" s="166">
        <v>5.0305454537778367</v>
      </c>
      <c r="M212" s="166">
        <v>4.8592454537778371</v>
      </c>
      <c r="N212" s="166">
        <v>1.0058187458141103</v>
      </c>
      <c r="O212" s="166">
        <v>5.8650641995919477</v>
      </c>
      <c r="P212" s="166">
        <v>5.2746317189279432</v>
      </c>
      <c r="Q212" s="166">
        <v>0.46818750000000003</v>
      </c>
      <c r="R212" s="166">
        <v>5.7428192189279432</v>
      </c>
      <c r="S212" s="26"/>
      <c r="T212" s="167">
        <f t="shared" si="14"/>
        <v>4.9977075421612058</v>
      </c>
    </row>
    <row r="213" spans="5:20">
      <c r="E213" s="26">
        <f t="shared" si="12"/>
        <v>2034</v>
      </c>
      <c r="F213" s="26">
        <f t="shared" si="13"/>
        <v>7</v>
      </c>
      <c r="G213" s="165">
        <v>49126</v>
      </c>
      <c r="H213" s="26" t="s">
        <v>334</v>
      </c>
      <c r="I213" s="26"/>
      <c r="J213" s="166">
        <v>4.9084475221560258</v>
      </c>
      <c r="K213" s="166">
        <v>0.17129999999999992</v>
      </c>
      <c r="L213" s="166">
        <v>5.0797475221560253</v>
      </c>
      <c r="M213" s="166">
        <v>4.9084475221560258</v>
      </c>
      <c r="N213" s="166">
        <v>1.0058187458141103</v>
      </c>
      <c r="O213" s="166">
        <v>5.9142662679701363</v>
      </c>
      <c r="P213" s="166">
        <v>5.3268922530938285</v>
      </c>
      <c r="Q213" s="166">
        <v>0.46818750000000003</v>
      </c>
      <c r="R213" s="166">
        <v>5.7950797530938285</v>
      </c>
      <c r="S213" s="26"/>
      <c r="T213" s="167">
        <f t="shared" si="14"/>
        <v>5.0479290991352928</v>
      </c>
    </row>
    <row r="214" spans="5:20">
      <c r="E214" s="26">
        <f t="shared" si="12"/>
        <v>2034</v>
      </c>
      <c r="F214" s="26">
        <f t="shared" si="13"/>
        <v>8</v>
      </c>
      <c r="G214" s="165">
        <v>49157</v>
      </c>
      <c r="H214" s="26" t="s">
        <v>335</v>
      </c>
      <c r="I214" s="26"/>
      <c r="J214" s="166">
        <v>4.9467729063362817</v>
      </c>
      <c r="K214" s="166">
        <v>0.17129999999999992</v>
      </c>
      <c r="L214" s="166">
        <v>5.1180729063362813</v>
      </c>
      <c r="M214" s="166">
        <v>4.9467729063362817</v>
      </c>
      <c r="N214" s="166">
        <v>1.0058187458141103</v>
      </c>
      <c r="O214" s="166">
        <v>5.9525916521503923</v>
      </c>
      <c r="P214" s="166">
        <v>5.3673292963002677</v>
      </c>
      <c r="Q214" s="166">
        <v>0.46818750000000003</v>
      </c>
      <c r="R214" s="166">
        <v>5.8355167963002677</v>
      </c>
      <c r="S214" s="26"/>
      <c r="T214" s="167">
        <f t="shared" si="14"/>
        <v>5.0869583696576104</v>
      </c>
    </row>
    <row r="215" spans="5:20">
      <c r="E215" s="26">
        <f t="shared" si="12"/>
        <v>2034</v>
      </c>
      <c r="F215" s="26">
        <f t="shared" si="13"/>
        <v>9</v>
      </c>
      <c r="G215" s="165">
        <v>49188</v>
      </c>
      <c r="H215" s="26" t="s">
        <v>336</v>
      </c>
      <c r="I215" s="26"/>
      <c r="J215" s="166">
        <v>4.5078449699318979</v>
      </c>
      <c r="K215" s="166">
        <v>0.17129999999999992</v>
      </c>
      <c r="L215" s="166">
        <v>4.6791449699318974</v>
      </c>
      <c r="M215" s="166">
        <v>4.5078449699318979</v>
      </c>
      <c r="N215" s="166">
        <v>1.0058187458141103</v>
      </c>
      <c r="O215" s="166">
        <v>5.5136637157460084</v>
      </c>
      <c r="P215" s="166">
        <v>4.8900330951423303</v>
      </c>
      <c r="Q215" s="166">
        <v>0.46818750000000003</v>
      </c>
      <c r="R215" s="166">
        <v>5.3582205951423303</v>
      </c>
      <c r="S215" s="26"/>
      <c r="T215" s="167">
        <f t="shared" si="14"/>
        <v>4.6352410116687084</v>
      </c>
    </row>
    <row r="216" spans="5:20">
      <c r="E216" s="26">
        <f t="shared" si="12"/>
        <v>2034</v>
      </c>
      <c r="F216" s="26">
        <f t="shared" si="13"/>
        <v>10</v>
      </c>
      <c r="G216" s="165">
        <v>49218</v>
      </c>
      <c r="H216" s="26" t="s">
        <v>337</v>
      </c>
      <c r="I216" s="26"/>
      <c r="J216" s="166">
        <v>4.5520020045581715</v>
      </c>
      <c r="K216" s="166">
        <v>0.17129999999999992</v>
      </c>
      <c r="L216" s="166">
        <v>4.7233020045581711</v>
      </c>
      <c r="M216" s="166">
        <v>4.5520020045581715</v>
      </c>
      <c r="N216" s="166">
        <v>1.0058187458141103</v>
      </c>
      <c r="O216" s="166">
        <v>5.5578207503722821</v>
      </c>
      <c r="P216" s="166">
        <v>4.9368721722345166</v>
      </c>
      <c r="Q216" s="166">
        <v>0.46818750000000003</v>
      </c>
      <c r="R216" s="166">
        <v>5.4050596722345166</v>
      </c>
      <c r="S216" s="26"/>
      <c r="T216" s="167">
        <f t="shared" si="14"/>
        <v>4.6802920604502871</v>
      </c>
    </row>
    <row r="217" spans="5:20">
      <c r="E217" s="26">
        <f t="shared" si="12"/>
        <v>2034</v>
      </c>
      <c r="F217" s="26">
        <f t="shared" si="13"/>
        <v>11</v>
      </c>
      <c r="G217" s="165">
        <v>49249</v>
      </c>
      <c r="H217" s="26" t="s">
        <v>338</v>
      </c>
      <c r="I217" s="26"/>
      <c r="J217" s="166">
        <v>4.4680234245614088</v>
      </c>
      <c r="K217" s="166">
        <v>0.17129999999999992</v>
      </c>
      <c r="L217" s="166">
        <v>4.6393234245614083</v>
      </c>
      <c r="M217" s="166">
        <v>4.4680234245614088</v>
      </c>
      <c r="N217" s="166">
        <v>1.0058187458141103</v>
      </c>
      <c r="O217" s="166">
        <v>5.4738421703755193</v>
      </c>
      <c r="P217" s="166">
        <v>4.8447519045352259</v>
      </c>
      <c r="Q217" s="166">
        <v>0.46818750000000003</v>
      </c>
      <c r="R217" s="166">
        <v>5.3129394045352258</v>
      </c>
      <c r="S217" s="26"/>
      <c r="T217" s="167">
        <f t="shared" si="14"/>
        <v>4.5935995845526811</v>
      </c>
    </row>
    <row r="218" spans="5:20">
      <c r="E218" s="26">
        <f t="shared" si="12"/>
        <v>2034</v>
      </c>
      <c r="F218" s="26">
        <f t="shared" si="13"/>
        <v>12</v>
      </c>
      <c r="G218" s="165">
        <v>49279</v>
      </c>
      <c r="H218" s="26" t="s">
        <v>339</v>
      </c>
      <c r="I218" s="26"/>
      <c r="J218" s="166">
        <v>4.9394491706305699</v>
      </c>
      <c r="K218" s="166">
        <v>0.17129999999999992</v>
      </c>
      <c r="L218" s="166">
        <v>5.1107491706305694</v>
      </c>
      <c r="M218" s="166">
        <v>4.9394491706305699</v>
      </c>
      <c r="N218" s="166">
        <v>1.0058187458141103</v>
      </c>
      <c r="O218" s="166">
        <v>5.9452679164446804</v>
      </c>
      <c r="P218" s="166">
        <v>5.3547763465721765</v>
      </c>
      <c r="Q218" s="166">
        <v>0.46818750000000003</v>
      </c>
      <c r="R218" s="166">
        <v>5.8229638465721765</v>
      </c>
      <c r="S218" s="26"/>
      <c r="T218" s="167">
        <f>AVERAGE(J218,M218,P218)</f>
        <v>5.0778915626111054</v>
      </c>
    </row>
    <row r="219" spans="5:20">
      <c r="E219" s="26">
        <f t="shared" si="12"/>
        <v>2035</v>
      </c>
      <c r="F219" s="26">
        <f t="shared" si="13"/>
        <v>1</v>
      </c>
      <c r="G219" s="165">
        <v>49310</v>
      </c>
      <c r="H219" s="26" t="s">
        <v>340</v>
      </c>
      <c r="I219" s="26"/>
      <c r="J219" s="166">
        <v>5.3629282711990811</v>
      </c>
      <c r="K219" s="166">
        <v>0.17129999999999992</v>
      </c>
      <c r="L219" s="166">
        <v>5.5342282711990807</v>
      </c>
      <c r="M219" s="166">
        <v>5.3629282711990811</v>
      </c>
      <c r="N219" s="166">
        <v>1.0058187458141103</v>
      </c>
      <c r="O219" s="166">
        <v>6.3687470170131917</v>
      </c>
      <c r="P219" s="166">
        <v>5.8082295767357826</v>
      </c>
      <c r="Q219" s="166">
        <v>0.46818750000000003</v>
      </c>
      <c r="R219" s="166">
        <v>6.2764170767357825</v>
      </c>
      <c r="S219" s="26"/>
      <c r="T219" s="167">
        <f t="shared" si="14"/>
        <v>5.5113620397113152</v>
      </c>
    </row>
    <row r="220" spans="5:20">
      <c r="E220" s="26">
        <f t="shared" si="12"/>
        <v>2035</v>
      </c>
      <c r="F220" s="26">
        <f t="shared" si="13"/>
        <v>2</v>
      </c>
      <c r="G220" s="165">
        <v>49341</v>
      </c>
      <c r="H220" s="26" t="s">
        <v>341</v>
      </c>
      <c r="I220" s="26"/>
      <c r="J220" s="166">
        <v>5.4743355356649275</v>
      </c>
      <c r="K220" s="166">
        <v>0.17129999999999992</v>
      </c>
      <c r="L220" s="166">
        <v>5.645635535664927</v>
      </c>
      <c r="M220" s="166">
        <v>5.4743355356649275</v>
      </c>
      <c r="N220" s="166">
        <v>1.0058187458141103</v>
      </c>
      <c r="O220" s="166">
        <v>6.480154281479038</v>
      </c>
      <c r="P220" s="166">
        <v>5.9276402805617767</v>
      </c>
      <c r="Q220" s="166">
        <v>0.46818750000000003</v>
      </c>
      <c r="R220" s="166">
        <v>6.3958277805617767</v>
      </c>
      <c r="S220" s="26"/>
      <c r="T220" s="167">
        <f t="shared" si="14"/>
        <v>5.62543711729721</v>
      </c>
    </row>
    <row r="221" spans="5:20">
      <c r="E221" s="26">
        <f t="shared" si="12"/>
        <v>2035</v>
      </c>
      <c r="F221" s="26">
        <f t="shared" si="13"/>
        <v>3</v>
      </c>
      <c r="G221" s="165">
        <v>49369</v>
      </c>
      <c r="H221" s="26" t="s">
        <v>342</v>
      </c>
      <c r="I221" s="26"/>
      <c r="J221" s="166">
        <v>4.8901471055046732</v>
      </c>
      <c r="K221" s="166">
        <v>0.17129999999999992</v>
      </c>
      <c r="L221" s="166">
        <v>5.0614471055046728</v>
      </c>
      <c r="M221" s="166">
        <v>4.8901471055046732</v>
      </c>
      <c r="N221" s="166">
        <v>1.0058187458141103</v>
      </c>
      <c r="O221" s="166">
        <v>5.8959658513187838</v>
      </c>
      <c r="P221" s="166">
        <v>5.2939647258261378</v>
      </c>
      <c r="Q221" s="166">
        <v>0.46818750000000003</v>
      </c>
      <c r="R221" s="166">
        <v>5.7621522258261377</v>
      </c>
      <c r="S221" s="26"/>
      <c r="T221" s="167">
        <f t="shared" si="14"/>
        <v>5.0247529789451617</v>
      </c>
    </row>
    <row r="222" spans="5:20">
      <c r="E222" s="26">
        <f t="shared" si="12"/>
        <v>2035</v>
      </c>
      <c r="F222" s="26">
        <f t="shared" si="13"/>
        <v>4</v>
      </c>
      <c r="G222" s="165">
        <v>49400</v>
      </c>
      <c r="H222" s="26" t="s">
        <v>343</v>
      </c>
      <c r="I222" s="26"/>
      <c r="J222" s="166">
        <v>4.8838819906143698</v>
      </c>
      <c r="K222" s="166">
        <v>0.17129999999999992</v>
      </c>
      <c r="L222" s="166">
        <v>5.0551819906143693</v>
      </c>
      <c r="M222" s="166">
        <v>4.8838819906143698</v>
      </c>
      <c r="N222" s="166">
        <v>1.0058187458141103</v>
      </c>
      <c r="O222" s="166">
        <v>5.8897007364284804</v>
      </c>
      <c r="P222" s="166">
        <v>5.2860713697968356</v>
      </c>
      <c r="Q222" s="166">
        <v>0.46818750000000003</v>
      </c>
      <c r="R222" s="166">
        <v>5.7542588697968355</v>
      </c>
      <c r="S222" s="26"/>
      <c r="T222" s="167">
        <f t="shared" si="14"/>
        <v>5.0179451170085256</v>
      </c>
    </row>
    <row r="223" spans="5:20">
      <c r="E223" s="26">
        <f t="shared" si="12"/>
        <v>2035</v>
      </c>
      <c r="F223" s="26">
        <f t="shared" si="13"/>
        <v>5</v>
      </c>
      <c r="G223" s="165">
        <v>49430</v>
      </c>
      <c r="H223" s="26" t="s">
        <v>344</v>
      </c>
      <c r="I223" s="26"/>
      <c r="J223" s="166">
        <v>5.1387171018277229</v>
      </c>
      <c r="K223" s="166">
        <v>0.17129999999999992</v>
      </c>
      <c r="L223" s="166">
        <v>5.3100171018277225</v>
      </c>
      <c r="M223" s="166">
        <v>5.1387171018277229</v>
      </c>
      <c r="N223" s="166">
        <v>1.0058187458141103</v>
      </c>
      <c r="O223" s="166">
        <v>6.1445358476418335</v>
      </c>
      <c r="P223" s="166">
        <v>5.5607242762203661</v>
      </c>
      <c r="Q223" s="166">
        <v>0.46818750000000003</v>
      </c>
      <c r="R223" s="166">
        <v>6.0289117762203661</v>
      </c>
      <c r="S223" s="26"/>
      <c r="T223" s="167">
        <f t="shared" si="14"/>
        <v>5.2793861599586043</v>
      </c>
    </row>
    <row r="224" spans="5:20">
      <c r="E224" s="26">
        <f t="shared" si="12"/>
        <v>2035</v>
      </c>
      <c r="F224" s="26">
        <f t="shared" si="13"/>
        <v>6</v>
      </c>
      <c r="G224" s="165">
        <v>49461</v>
      </c>
      <c r="H224" s="26" t="s">
        <v>345</v>
      </c>
      <c r="I224" s="26"/>
      <c r="J224" s="166">
        <v>4.9770844594814934</v>
      </c>
      <c r="K224" s="166">
        <v>0.17129999999999992</v>
      </c>
      <c r="L224" s="166">
        <v>5.1483844594814929</v>
      </c>
      <c r="M224" s="166">
        <v>4.9770844594814934</v>
      </c>
      <c r="N224" s="166">
        <v>1.0058187458141103</v>
      </c>
      <c r="O224" s="166">
        <v>5.9829032052956039</v>
      </c>
      <c r="P224" s="166">
        <v>5.3858547252440818</v>
      </c>
      <c r="Q224" s="166">
        <v>0.46818750000000003</v>
      </c>
      <c r="R224" s="166">
        <v>5.8540422252440818</v>
      </c>
      <c r="S224" s="26"/>
      <c r="T224" s="167">
        <f t="shared" si="14"/>
        <v>5.1133412147356898</v>
      </c>
    </row>
    <row r="225" spans="5:20">
      <c r="E225" s="26">
        <f t="shared" si="12"/>
        <v>2035</v>
      </c>
      <c r="F225" s="26">
        <f t="shared" si="13"/>
        <v>7</v>
      </c>
      <c r="G225" s="165">
        <v>49491</v>
      </c>
      <c r="H225" s="26" t="s">
        <v>346</v>
      </c>
      <c r="I225" s="26"/>
      <c r="J225" s="166">
        <v>5.0276064555704849</v>
      </c>
      <c r="K225" s="166">
        <v>0.17129999999999992</v>
      </c>
      <c r="L225" s="166">
        <v>5.1989064555704845</v>
      </c>
      <c r="M225" s="166">
        <v>5.0276064555704849</v>
      </c>
      <c r="N225" s="166">
        <v>1.0058187458141103</v>
      </c>
      <c r="O225" s="166">
        <v>6.0334252013845955</v>
      </c>
      <c r="P225" s="166">
        <v>5.4395813500812871</v>
      </c>
      <c r="Q225" s="166">
        <v>0.46818750000000003</v>
      </c>
      <c r="R225" s="166">
        <v>5.907768850081287</v>
      </c>
      <c r="S225" s="26"/>
      <c r="T225" s="167">
        <f t="shared" si="14"/>
        <v>5.1649314204074193</v>
      </c>
    </row>
    <row r="226" spans="5:20">
      <c r="E226" s="26">
        <f t="shared" si="12"/>
        <v>2035</v>
      </c>
      <c r="F226" s="26">
        <f t="shared" si="13"/>
        <v>8</v>
      </c>
      <c r="G226" s="165">
        <v>49522</v>
      </c>
      <c r="H226" s="26" t="s">
        <v>347</v>
      </c>
      <c r="I226" s="26"/>
      <c r="J226" s="166">
        <v>5.0669898835869578</v>
      </c>
      <c r="K226" s="166">
        <v>0.17129999999999992</v>
      </c>
      <c r="L226" s="166">
        <v>5.2382898835869574</v>
      </c>
      <c r="M226" s="166">
        <v>5.0669898835869578</v>
      </c>
      <c r="N226" s="166">
        <v>1.0058187458141103</v>
      </c>
      <c r="O226" s="166">
        <v>6.0728086294010684</v>
      </c>
      <c r="P226" s="166">
        <v>5.4812405719174935</v>
      </c>
      <c r="Q226" s="166">
        <v>0.46818750000000003</v>
      </c>
      <c r="R226" s="166">
        <v>5.9494280719174935</v>
      </c>
      <c r="S226" s="26"/>
      <c r="T226" s="167">
        <f t="shared" si="14"/>
        <v>5.2050734463638024</v>
      </c>
    </row>
    <row r="227" spans="5:20">
      <c r="E227" s="26">
        <f t="shared" si="12"/>
        <v>2035</v>
      </c>
      <c r="F227" s="26">
        <f t="shared" si="13"/>
        <v>9</v>
      </c>
      <c r="G227" s="165">
        <v>49553</v>
      </c>
      <c r="H227" s="26" t="s">
        <v>348</v>
      </c>
      <c r="I227" s="26"/>
      <c r="J227" s="166">
        <v>4.617511305639554</v>
      </c>
      <c r="K227" s="166">
        <v>0.17129999999999992</v>
      </c>
      <c r="L227" s="166">
        <v>4.7888113056395536</v>
      </c>
      <c r="M227" s="166">
        <v>4.617511305639554</v>
      </c>
      <c r="N227" s="166">
        <v>1.0058187458141103</v>
      </c>
      <c r="O227" s="166">
        <v>5.6233300514536646</v>
      </c>
      <c r="P227" s="166">
        <v>4.9941486898004914</v>
      </c>
      <c r="Q227" s="166">
        <v>0.46818750000000003</v>
      </c>
      <c r="R227" s="166">
        <v>5.4623361898004914</v>
      </c>
      <c r="S227" s="26"/>
      <c r="T227" s="167">
        <f t="shared" si="14"/>
        <v>4.7430571003598665</v>
      </c>
    </row>
    <row r="228" spans="5:20">
      <c r="E228" s="26">
        <f t="shared" si="12"/>
        <v>2035</v>
      </c>
      <c r="F228" s="26">
        <f t="shared" si="13"/>
        <v>10</v>
      </c>
      <c r="G228" s="165">
        <v>49583</v>
      </c>
      <c r="H228" s="26" t="s">
        <v>349</v>
      </c>
      <c r="I228" s="26"/>
      <c r="J228" s="166">
        <v>4.6628598653395983</v>
      </c>
      <c r="K228" s="166">
        <v>0.17129999999999992</v>
      </c>
      <c r="L228" s="166">
        <v>4.8341598653395979</v>
      </c>
      <c r="M228" s="166">
        <v>4.6628598653395983</v>
      </c>
      <c r="N228" s="166">
        <v>1.0058187458141103</v>
      </c>
      <c r="O228" s="166">
        <v>5.6686786111537089</v>
      </c>
      <c r="P228" s="166">
        <v>5.0423221363061259</v>
      </c>
      <c r="Q228" s="166">
        <v>0.46818750000000003</v>
      </c>
      <c r="R228" s="166">
        <v>5.5105096363061259</v>
      </c>
      <c r="S228" s="26"/>
      <c r="T228" s="167">
        <f t="shared" si="14"/>
        <v>4.7893472889951072</v>
      </c>
    </row>
    <row r="229" spans="5:20">
      <c r="E229" s="26">
        <f t="shared" si="12"/>
        <v>2035</v>
      </c>
      <c r="F229" s="26">
        <f t="shared" si="13"/>
        <v>11</v>
      </c>
      <c r="G229" s="165">
        <v>49614</v>
      </c>
      <c r="H229" s="26" t="s">
        <v>350</v>
      </c>
      <c r="I229" s="26"/>
      <c r="J229" s="166">
        <v>4.5769511259346842</v>
      </c>
      <c r="K229" s="166">
        <v>0.17129999999999992</v>
      </c>
      <c r="L229" s="166">
        <v>4.7482511259346838</v>
      </c>
      <c r="M229" s="166">
        <v>4.5769511259346842</v>
      </c>
      <c r="N229" s="166">
        <v>1.0058187458141103</v>
      </c>
      <c r="O229" s="166">
        <v>5.5827698717487948</v>
      </c>
      <c r="P229" s="166">
        <v>4.9485649075559452</v>
      </c>
      <c r="Q229" s="166">
        <v>0.46818750000000003</v>
      </c>
      <c r="R229" s="166">
        <v>5.4167524075559452</v>
      </c>
      <c r="S229" s="26"/>
      <c r="T229" s="167">
        <f t="shared" si="14"/>
        <v>4.700822386475104</v>
      </c>
    </row>
    <row r="230" spans="5:20">
      <c r="E230" s="26">
        <f t="shared" si="12"/>
        <v>2035</v>
      </c>
      <c r="F230" s="26">
        <f t="shared" si="13"/>
        <v>12</v>
      </c>
      <c r="G230" s="165">
        <v>49644</v>
      </c>
      <c r="H230" s="26" t="s">
        <v>351</v>
      </c>
      <c r="I230" s="26"/>
      <c r="J230" s="166">
        <v>5.0599970097967137</v>
      </c>
      <c r="K230" s="166">
        <v>0.17129999999999992</v>
      </c>
      <c r="L230" s="166">
        <v>5.2312970097967133</v>
      </c>
      <c r="M230" s="166">
        <v>5.0599970097967137</v>
      </c>
      <c r="N230" s="166">
        <v>1.0058187458141103</v>
      </c>
      <c r="O230" s="166">
        <v>6.0658157556108243</v>
      </c>
      <c r="P230" s="166">
        <v>5.4698835041967095</v>
      </c>
      <c r="Q230" s="166">
        <v>0.46818750000000003</v>
      </c>
      <c r="R230" s="166">
        <v>5.9380710041967095</v>
      </c>
      <c r="S230" s="26"/>
      <c r="T230" s="167">
        <f t="shared" si="14"/>
        <v>5.196625841263379</v>
      </c>
    </row>
    <row r="231" spans="5:20">
      <c r="E231" s="26">
        <f t="shared" si="12"/>
        <v>2036</v>
      </c>
      <c r="F231" s="26">
        <f t="shared" si="13"/>
        <v>1</v>
      </c>
      <c r="G231" s="165">
        <v>49675</v>
      </c>
      <c r="H231" s="26" t="s">
        <v>352</v>
      </c>
      <c r="I231" s="26"/>
      <c r="J231" s="166">
        <v>5.4938614551714462</v>
      </c>
      <c r="K231" s="166">
        <v>0.17129999999999992</v>
      </c>
      <c r="L231" s="166">
        <v>5.6651614551714458</v>
      </c>
      <c r="M231" s="166">
        <v>5.4938614551714462</v>
      </c>
      <c r="N231" s="166">
        <v>1.0058187458141103</v>
      </c>
      <c r="O231" s="166">
        <v>6.4996802009855568</v>
      </c>
      <c r="P231" s="166">
        <v>5.9339700426500963</v>
      </c>
      <c r="Q231" s="166">
        <v>0.46818750000000003</v>
      </c>
      <c r="R231" s="166">
        <v>6.4021575426500963</v>
      </c>
      <c r="S231" s="26"/>
      <c r="T231" s="167">
        <f t="shared" si="14"/>
        <v>5.640564317664329</v>
      </c>
    </row>
    <row r="232" spans="5:20">
      <c r="E232" s="26">
        <f t="shared" si="12"/>
        <v>2036</v>
      </c>
      <c r="F232" s="26">
        <f t="shared" si="13"/>
        <v>2</v>
      </c>
      <c r="G232" s="165">
        <v>49706</v>
      </c>
      <c r="H232" s="26" t="s">
        <v>353</v>
      </c>
      <c r="I232" s="26"/>
      <c r="J232" s="166">
        <v>5.6081266435190429</v>
      </c>
      <c r="K232" s="166">
        <v>0.17129999999999992</v>
      </c>
      <c r="L232" s="166">
        <v>5.7794266435190425</v>
      </c>
      <c r="M232" s="166">
        <v>5.6081266435190429</v>
      </c>
      <c r="N232" s="166">
        <v>1.0058187458141103</v>
      </c>
      <c r="O232" s="166">
        <v>6.6139453893331535</v>
      </c>
      <c r="P232" s="166">
        <v>6.0563625729981485</v>
      </c>
      <c r="Q232" s="166">
        <v>0.46818750000000003</v>
      </c>
      <c r="R232" s="166">
        <v>6.5245500729981485</v>
      </c>
      <c r="S232" s="26"/>
      <c r="T232" s="167">
        <f t="shared" si="14"/>
        <v>5.7575386200120775</v>
      </c>
    </row>
    <row r="233" spans="5:20">
      <c r="E233" s="26">
        <f t="shared" si="12"/>
        <v>2036</v>
      </c>
      <c r="F233" s="26">
        <f t="shared" si="13"/>
        <v>3</v>
      </c>
      <c r="G233" s="165">
        <v>49735</v>
      </c>
      <c r="H233" s="26" t="s">
        <v>354</v>
      </c>
      <c r="I233" s="26"/>
      <c r="J233" s="166">
        <v>5.0097839797579864</v>
      </c>
      <c r="K233" s="166">
        <v>0.17129999999999992</v>
      </c>
      <c r="L233" s="166">
        <v>5.181083979757986</v>
      </c>
      <c r="M233" s="166">
        <v>5.0097839797579864</v>
      </c>
      <c r="N233" s="166">
        <v>1.0058187458141103</v>
      </c>
      <c r="O233" s="166">
        <v>6.015602725572097</v>
      </c>
      <c r="P233" s="166">
        <v>5.4092805826459252</v>
      </c>
      <c r="Q233" s="166">
        <v>0.46818750000000003</v>
      </c>
      <c r="R233" s="166">
        <v>5.8774680826459251</v>
      </c>
      <c r="S233" s="26"/>
      <c r="T233" s="167">
        <f t="shared" si="14"/>
        <v>5.1429495140539663</v>
      </c>
    </row>
    <row r="234" spans="5:20">
      <c r="E234" s="26">
        <f t="shared" si="12"/>
        <v>2036</v>
      </c>
      <c r="F234" s="26">
        <f t="shared" si="13"/>
        <v>4</v>
      </c>
      <c r="G234" s="165">
        <v>49766</v>
      </c>
      <c r="H234" s="26" t="s">
        <v>355</v>
      </c>
      <c r="I234" s="26"/>
      <c r="J234" s="166">
        <v>5.0034884942720277</v>
      </c>
      <c r="K234" s="166">
        <v>0.17129999999999992</v>
      </c>
      <c r="L234" s="166">
        <v>5.1747884942720273</v>
      </c>
      <c r="M234" s="166">
        <v>5.0034884942720277</v>
      </c>
      <c r="N234" s="166">
        <v>1.0058187458141103</v>
      </c>
      <c r="O234" s="166">
        <v>6.0093072400861383</v>
      </c>
      <c r="P234" s="166">
        <v>5.4015688553034131</v>
      </c>
      <c r="Q234" s="166">
        <v>0.46818750000000003</v>
      </c>
      <c r="R234" s="166">
        <v>5.8697563553034131</v>
      </c>
      <c r="S234" s="26"/>
      <c r="T234" s="167">
        <f t="shared" si="14"/>
        <v>5.1361819479491562</v>
      </c>
    </row>
    <row r="235" spans="5:20">
      <c r="E235" s="26">
        <f t="shared" si="12"/>
        <v>2036</v>
      </c>
      <c r="F235" s="26">
        <f t="shared" si="13"/>
        <v>5</v>
      </c>
      <c r="G235" s="165">
        <v>49796</v>
      </c>
      <c r="H235" s="26" t="s">
        <v>356</v>
      </c>
      <c r="I235" s="26"/>
      <c r="J235" s="166">
        <v>5.264693749760764</v>
      </c>
      <c r="K235" s="166">
        <v>0.17129999999999992</v>
      </c>
      <c r="L235" s="166">
        <v>5.4359937497607635</v>
      </c>
      <c r="M235" s="166">
        <v>5.264693749760764</v>
      </c>
      <c r="N235" s="166">
        <v>1.0058187458141103</v>
      </c>
      <c r="O235" s="166">
        <v>6.2705124955748746</v>
      </c>
      <c r="P235" s="166">
        <v>5.6825945748714473</v>
      </c>
      <c r="Q235" s="166">
        <v>0.46818750000000003</v>
      </c>
      <c r="R235" s="166">
        <v>6.1507820748714472</v>
      </c>
      <c r="S235" s="26"/>
      <c r="T235" s="167">
        <f t="shared" si="14"/>
        <v>5.4039940247976581</v>
      </c>
    </row>
    <row r="236" spans="5:20">
      <c r="E236" s="26">
        <f t="shared" si="12"/>
        <v>2036</v>
      </c>
      <c r="F236" s="26">
        <f t="shared" si="13"/>
        <v>6</v>
      </c>
      <c r="G236" s="165">
        <v>49827</v>
      </c>
      <c r="H236" s="26" t="s">
        <v>357</v>
      </c>
      <c r="I236" s="26"/>
      <c r="J236" s="166">
        <v>3.1903022105334977</v>
      </c>
      <c r="K236" s="166">
        <v>0.17129999999999992</v>
      </c>
      <c r="L236" s="166">
        <v>3.3616022105334977</v>
      </c>
      <c r="M236" s="166">
        <v>3.1903022105334977</v>
      </c>
      <c r="N236" s="166">
        <v>1.0058187458141103</v>
      </c>
      <c r="O236" s="166">
        <v>4.1961209563476078</v>
      </c>
      <c r="P236" s="166">
        <v>3.4464589465320499</v>
      </c>
      <c r="Q236" s="166">
        <v>0.46818750000000003</v>
      </c>
      <c r="R236" s="166">
        <v>3.9146464465320499</v>
      </c>
      <c r="S236" s="26"/>
      <c r="T236" s="167">
        <f t="shared" si="14"/>
        <v>3.2756877891996816</v>
      </c>
    </row>
    <row r="237" spans="5:20">
      <c r="E237" s="26">
        <f t="shared" si="12"/>
        <v>2036</v>
      </c>
      <c r="F237" s="26">
        <f t="shared" si="13"/>
        <v>7</v>
      </c>
      <c r="G237" s="165">
        <v>49857</v>
      </c>
      <c r="H237" s="26" t="s">
        <v>358</v>
      </c>
      <c r="I237" s="26"/>
      <c r="J237" s="166">
        <v>2.9023544420363767</v>
      </c>
      <c r="K237" s="166">
        <v>0.17129999999999992</v>
      </c>
      <c r="L237" s="166">
        <v>3.0736544420363767</v>
      </c>
      <c r="M237" s="166">
        <v>2.9023544420363767</v>
      </c>
      <c r="N237" s="166">
        <v>1.0058187458141103</v>
      </c>
      <c r="O237" s="166">
        <v>3.9081731878504868</v>
      </c>
      <c r="P237" s="166">
        <v>3.1353911863699531</v>
      </c>
      <c r="Q237" s="166">
        <v>0.46818750000000003</v>
      </c>
      <c r="R237" s="166">
        <v>3.603578686369953</v>
      </c>
      <c r="S237" s="26"/>
      <c r="T237" s="167">
        <f t="shared" si="14"/>
        <v>2.9800333568142356</v>
      </c>
    </row>
    <row r="238" spans="5:20">
      <c r="E238" s="26">
        <f t="shared" si="12"/>
        <v>2036</v>
      </c>
      <c r="F238" s="26">
        <f t="shared" si="13"/>
        <v>8</v>
      </c>
      <c r="G238" s="165">
        <v>49888</v>
      </c>
      <c r="H238" s="26" t="s">
        <v>359</v>
      </c>
      <c r="I238" s="26"/>
      <c r="J238" s="166">
        <v>2.6025135437907991</v>
      </c>
      <c r="K238" s="166">
        <v>0.17129999999999992</v>
      </c>
      <c r="L238" s="166">
        <v>2.7738135437907991</v>
      </c>
      <c r="M238" s="166">
        <v>2.6025135437907991</v>
      </c>
      <c r="N238" s="166">
        <v>1.0058187458141103</v>
      </c>
      <c r="O238" s="166">
        <v>3.6083322896049097</v>
      </c>
      <c r="P238" s="166">
        <v>2.8114753695916206</v>
      </c>
      <c r="Q238" s="166">
        <v>0.46818750000000003</v>
      </c>
      <c r="R238" s="166">
        <v>3.2796628695916206</v>
      </c>
      <c r="S238" s="26"/>
      <c r="T238" s="167">
        <f t="shared" si="14"/>
        <v>2.6721674857244064</v>
      </c>
    </row>
    <row r="239" spans="5:20">
      <c r="E239" s="26">
        <f t="shared" si="12"/>
        <v>2036</v>
      </c>
      <c r="F239" s="26">
        <f t="shared" si="13"/>
        <v>9</v>
      </c>
      <c r="G239" s="165">
        <v>49919</v>
      </c>
      <c r="H239" s="26" t="s">
        <v>360</v>
      </c>
      <c r="I239" s="26"/>
      <c r="J239" s="166">
        <v>2.0779317969751183</v>
      </c>
      <c r="K239" s="166">
        <v>0.17129999999999992</v>
      </c>
      <c r="L239" s="166">
        <v>2.2492317969751183</v>
      </c>
      <c r="M239" s="166">
        <v>2.0779317969751183</v>
      </c>
      <c r="N239" s="166">
        <v>1.0058187458141103</v>
      </c>
      <c r="O239" s="166">
        <v>3.0837505427892289</v>
      </c>
      <c r="P239" s="166">
        <v>2.2447737422251084</v>
      </c>
      <c r="Q239" s="166">
        <v>0.46818750000000003</v>
      </c>
      <c r="R239" s="166">
        <v>2.7129612422251084</v>
      </c>
      <c r="S239" s="26"/>
      <c r="T239" s="167">
        <f t="shared" si="14"/>
        <v>2.1335457787251149</v>
      </c>
    </row>
    <row r="240" spans="5:20">
      <c r="E240" s="26">
        <f t="shared" si="12"/>
        <v>2036</v>
      </c>
      <c r="F240" s="26">
        <f t="shared" si="13"/>
        <v>10</v>
      </c>
      <c r="G240" s="165">
        <v>49949</v>
      </c>
      <c r="H240" s="26" t="s">
        <v>361</v>
      </c>
      <c r="I240" s="26"/>
      <c r="J240" s="166">
        <v>1.801978041723491</v>
      </c>
      <c r="K240" s="166">
        <v>0.17129999999999992</v>
      </c>
      <c r="L240" s="166">
        <v>1.973278041723491</v>
      </c>
      <c r="M240" s="166">
        <v>1.801978041723491</v>
      </c>
      <c r="N240" s="166">
        <v>1.0058187458141103</v>
      </c>
      <c r="O240" s="166">
        <v>2.8077967875376011</v>
      </c>
      <c r="P240" s="166">
        <v>1.9466630223453625</v>
      </c>
      <c r="Q240" s="166">
        <v>0.46818750000000003</v>
      </c>
      <c r="R240" s="166">
        <v>2.4148505223453625</v>
      </c>
      <c r="S240" s="26"/>
      <c r="T240" s="167">
        <f t="shared" si="14"/>
        <v>1.8502063685974484</v>
      </c>
    </row>
    <row r="241" spans="5:20">
      <c r="E241" s="26">
        <f t="shared" si="12"/>
        <v>2036</v>
      </c>
      <c r="F241" s="26">
        <f t="shared" si="13"/>
        <v>11</v>
      </c>
      <c r="G241" s="165">
        <v>49980</v>
      </c>
      <c r="H241" s="26" t="s">
        <v>362</v>
      </c>
      <c r="I241" s="26"/>
      <c r="J241" s="166">
        <v>1.4781161098184992</v>
      </c>
      <c r="K241" s="166">
        <v>0.17129999999999992</v>
      </c>
      <c r="L241" s="166">
        <v>1.6494161098184992</v>
      </c>
      <c r="M241" s="166">
        <v>1.4781161098184992</v>
      </c>
      <c r="N241" s="166">
        <v>1.0058187458141103</v>
      </c>
      <c r="O241" s="166">
        <v>2.4839348556326097</v>
      </c>
      <c r="P241" s="166">
        <v>1.596797467612082</v>
      </c>
      <c r="Q241" s="166">
        <v>0.46818750000000003</v>
      </c>
      <c r="R241" s="166">
        <v>2.0649849676120819</v>
      </c>
      <c r="S241" s="26"/>
      <c r="T241" s="167">
        <f t="shared" si="14"/>
        <v>1.5176765624163602</v>
      </c>
    </row>
    <row r="242" spans="5:20">
      <c r="E242" s="26">
        <f t="shared" si="12"/>
        <v>2036</v>
      </c>
      <c r="F242" s="26">
        <f t="shared" si="13"/>
        <v>12</v>
      </c>
      <c r="G242" s="165">
        <v>50010</v>
      </c>
      <c r="H242" s="26" t="s">
        <v>363</v>
      </c>
      <c r="I242" s="26"/>
      <c r="J242" s="166">
        <v>1.3130399583758079</v>
      </c>
      <c r="K242" s="166">
        <v>0.17129999999999992</v>
      </c>
      <c r="L242" s="166">
        <v>1.4843399583758079</v>
      </c>
      <c r="M242" s="166">
        <v>1.3130399583758079</v>
      </c>
      <c r="N242" s="166">
        <v>1.0058187458141103</v>
      </c>
      <c r="O242" s="166">
        <v>2.3188587041899185</v>
      </c>
      <c r="P242" s="166">
        <v>1.4184669705449702</v>
      </c>
      <c r="Q242" s="166">
        <v>0.46818750000000003</v>
      </c>
      <c r="R242" s="166">
        <v>1.8866544705449702</v>
      </c>
      <c r="S242" s="26"/>
      <c r="T242" s="167">
        <f t="shared" si="14"/>
        <v>1.3481822957655287</v>
      </c>
    </row>
    <row r="243" spans="5:20">
      <c r="E243" s="26"/>
      <c r="F243" s="26"/>
      <c r="G243" s="165"/>
      <c r="H243" s="26"/>
      <c r="I243" s="26"/>
      <c r="J243" s="166"/>
      <c r="K243" s="166"/>
      <c r="L243" s="166"/>
      <c r="M243" s="166"/>
      <c r="N243" s="166"/>
      <c r="O243" s="166"/>
      <c r="P243" s="166"/>
      <c r="Q243" s="166"/>
      <c r="R243" s="166"/>
      <c r="S243" s="26"/>
      <c r="T243" s="166"/>
    </row>
    <row r="244" spans="5:20">
      <c r="E244" s="26"/>
      <c r="F244" s="26"/>
      <c r="G244" s="165"/>
      <c r="H244" s="26"/>
      <c r="I244" s="26"/>
      <c r="J244" s="166"/>
      <c r="K244" s="166"/>
      <c r="L244" s="166"/>
      <c r="M244" s="166"/>
      <c r="N244" s="166"/>
      <c r="O244" s="166"/>
      <c r="P244" s="166"/>
      <c r="Q244" s="166"/>
      <c r="R244" s="166"/>
      <c r="S244" s="26"/>
      <c r="T244" s="166"/>
    </row>
    <row r="245" spans="5:20">
      <c r="E245" s="26"/>
      <c r="F245" s="26"/>
      <c r="G245" s="165"/>
      <c r="H245" s="26"/>
      <c r="I245" s="26"/>
      <c r="J245" s="166"/>
      <c r="K245" s="166"/>
      <c r="L245" s="166"/>
      <c r="M245" s="166"/>
      <c r="N245" s="166"/>
      <c r="O245" s="166"/>
      <c r="P245" s="166"/>
      <c r="Q245" s="166"/>
      <c r="R245" s="166"/>
      <c r="S245" s="26"/>
      <c r="T245" s="166"/>
    </row>
    <row r="246" spans="5:20">
      <c r="E246" s="26"/>
      <c r="F246" s="26"/>
      <c r="G246" s="165"/>
      <c r="H246" s="26"/>
      <c r="I246" s="26"/>
      <c r="J246" s="166"/>
      <c r="K246" s="166"/>
      <c r="L246" s="166"/>
      <c r="M246" s="166"/>
      <c r="N246" s="166"/>
      <c r="O246" s="166"/>
      <c r="P246" s="166"/>
      <c r="Q246" s="166"/>
      <c r="R246" s="166"/>
      <c r="S246" s="26"/>
      <c r="T246" s="166"/>
    </row>
    <row r="247" spans="5:20">
      <c r="E247" s="26"/>
      <c r="F247" s="26"/>
      <c r="G247" s="165"/>
      <c r="H247" s="26"/>
      <c r="I247" s="26"/>
      <c r="J247" s="166"/>
      <c r="K247" s="166"/>
      <c r="L247" s="166"/>
      <c r="M247" s="166"/>
      <c r="N247" s="166"/>
      <c r="O247" s="166"/>
      <c r="P247" s="166"/>
      <c r="Q247" s="166"/>
      <c r="R247" s="166"/>
      <c r="S247" s="26"/>
      <c r="T247" s="166"/>
    </row>
    <row r="248" spans="5:20">
      <c r="E248" s="26"/>
      <c r="F248" s="26"/>
      <c r="G248" s="165"/>
      <c r="H248" s="26"/>
      <c r="I248" s="26"/>
      <c r="J248" s="166"/>
      <c r="K248" s="166"/>
      <c r="L248" s="166"/>
      <c r="M248" s="166"/>
      <c r="N248" s="166"/>
      <c r="O248" s="166"/>
      <c r="P248" s="166"/>
      <c r="Q248" s="166"/>
      <c r="R248" s="166"/>
      <c r="S248" s="26"/>
      <c r="T248" s="166"/>
    </row>
    <row r="249" spans="5:20">
      <c r="E249" s="26"/>
      <c r="F249" s="26"/>
      <c r="G249" s="165"/>
      <c r="H249" s="26"/>
      <c r="I249" s="26"/>
      <c r="J249" s="166"/>
      <c r="K249" s="166"/>
      <c r="L249" s="166"/>
      <c r="M249" s="166"/>
      <c r="N249" s="166"/>
      <c r="O249" s="166"/>
      <c r="P249" s="166"/>
      <c r="Q249" s="166"/>
      <c r="R249" s="166"/>
      <c r="S249" s="26"/>
      <c r="T249" s="166"/>
    </row>
    <row r="250" spans="5:20">
      <c r="E250" s="26"/>
      <c r="F250" s="26"/>
      <c r="G250" s="165"/>
      <c r="H250" s="26"/>
      <c r="I250" s="26"/>
      <c r="J250" s="166"/>
      <c r="K250" s="166"/>
      <c r="L250" s="166"/>
      <c r="M250" s="166"/>
      <c r="N250" s="166"/>
      <c r="O250" s="166"/>
      <c r="P250" s="166"/>
      <c r="Q250" s="166"/>
      <c r="R250" s="166"/>
      <c r="S250" s="26"/>
      <c r="T250" s="166"/>
    </row>
    <row r="251" spans="5:20">
      <c r="E251" s="26"/>
      <c r="F251" s="26"/>
      <c r="G251" s="165"/>
      <c r="H251" s="26"/>
      <c r="I251" s="26"/>
      <c r="J251" s="166"/>
      <c r="K251" s="166"/>
      <c r="L251" s="166"/>
      <c r="M251" s="166"/>
      <c r="N251" s="166"/>
      <c r="O251" s="166"/>
      <c r="P251" s="166"/>
      <c r="Q251" s="166"/>
      <c r="R251" s="166"/>
      <c r="S251" s="26"/>
      <c r="T251" s="166"/>
    </row>
    <row r="252" spans="5:20">
      <c r="E252" s="26"/>
      <c r="F252" s="26"/>
      <c r="G252" s="165"/>
      <c r="H252" s="26"/>
      <c r="I252" s="26"/>
      <c r="J252" s="166"/>
      <c r="K252" s="166"/>
      <c r="L252" s="166"/>
      <c r="M252" s="166"/>
      <c r="N252" s="166"/>
      <c r="O252" s="166"/>
      <c r="P252" s="166"/>
      <c r="Q252" s="166"/>
      <c r="R252" s="166"/>
      <c r="S252" s="26"/>
      <c r="T252" s="166"/>
    </row>
    <row r="253" spans="5:20">
      <c r="E253" s="26"/>
      <c r="F253" s="26"/>
      <c r="G253" s="165"/>
      <c r="H253" s="26"/>
      <c r="I253" s="26"/>
      <c r="J253" s="166"/>
      <c r="K253" s="166"/>
      <c r="L253" s="166"/>
      <c r="M253" s="166"/>
      <c r="N253" s="166"/>
      <c r="O253" s="166"/>
      <c r="P253" s="166"/>
      <c r="Q253" s="166"/>
      <c r="R253" s="166"/>
      <c r="S253" s="26"/>
      <c r="T253" s="166"/>
    </row>
    <row r="254" spans="5:20">
      <c r="E254" s="26"/>
      <c r="F254" s="26"/>
      <c r="G254" s="165"/>
      <c r="H254" s="26"/>
      <c r="I254" s="26"/>
      <c r="J254" s="166"/>
      <c r="K254" s="166"/>
      <c r="L254" s="166"/>
      <c r="M254" s="166"/>
      <c r="N254" s="166"/>
      <c r="O254" s="166"/>
      <c r="P254" s="166"/>
      <c r="Q254" s="166"/>
      <c r="R254" s="166"/>
      <c r="S254" s="26"/>
      <c r="T254" s="166"/>
    </row>
    <row r="255" spans="5:20">
      <c r="E255" s="26"/>
      <c r="F255" s="26"/>
      <c r="G255" s="165"/>
      <c r="H255" s="26"/>
      <c r="I255" s="26"/>
      <c r="J255" s="166"/>
      <c r="K255" s="166"/>
      <c r="L255" s="166"/>
      <c r="M255" s="166"/>
      <c r="N255" s="166"/>
      <c r="O255" s="166"/>
      <c r="P255" s="166"/>
      <c r="Q255" s="166"/>
      <c r="R255" s="166"/>
      <c r="S255" s="26"/>
      <c r="T255" s="166"/>
    </row>
    <row r="256" spans="5:20">
      <c r="E256" s="26"/>
      <c r="F256" s="26"/>
      <c r="G256" s="165"/>
      <c r="H256" s="26"/>
      <c r="I256" s="26"/>
      <c r="J256" s="166"/>
      <c r="K256" s="166"/>
      <c r="L256" s="166"/>
      <c r="M256" s="166"/>
      <c r="N256" s="166"/>
      <c r="O256" s="166"/>
      <c r="P256" s="166"/>
      <c r="Q256" s="166"/>
      <c r="R256" s="166"/>
      <c r="S256" s="26"/>
      <c r="T256" s="166"/>
    </row>
    <row r="257" spans="5:20">
      <c r="E257" s="26"/>
      <c r="F257" s="26"/>
      <c r="G257" s="165"/>
      <c r="H257" s="26"/>
      <c r="I257" s="26"/>
      <c r="J257" s="166"/>
      <c r="K257" s="166"/>
      <c r="L257" s="166"/>
      <c r="M257" s="166"/>
      <c r="N257" s="166"/>
      <c r="O257" s="166"/>
      <c r="P257" s="166"/>
      <c r="Q257" s="166"/>
      <c r="R257" s="166"/>
      <c r="S257" s="26"/>
      <c r="T257" s="166"/>
    </row>
    <row r="258" spans="5:20">
      <c r="E258" s="26"/>
      <c r="F258" s="26"/>
      <c r="G258" s="165"/>
      <c r="H258" s="26"/>
      <c r="I258" s="26"/>
      <c r="J258" s="166"/>
      <c r="K258" s="166"/>
      <c r="L258" s="166"/>
      <c r="M258" s="166"/>
      <c r="N258" s="166"/>
      <c r="O258" s="166"/>
      <c r="P258" s="166"/>
      <c r="Q258" s="166"/>
      <c r="R258" s="166"/>
      <c r="S258" s="26"/>
      <c r="T258" s="166"/>
    </row>
    <row r="259" spans="5:20">
      <c r="E259" s="26"/>
      <c r="F259" s="26"/>
      <c r="G259" s="165"/>
      <c r="H259" s="26"/>
      <c r="I259" s="26"/>
      <c r="J259" s="166"/>
      <c r="K259" s="166"/>
      <c r="L259" s="166"/>
      <c r="M259" s="166"/>
      <c r="N259" s="166"/>
      <c r="O259" s="166"/>
      <c r="P259" s="166"/>
      <c r="Q259" s="166"/>
      <c r="R259" s="166"/>
      <c r="S259" s="26"/>
      <c r="T259" s="166"/>
    </row>
    <row r="260" spans="5:20">
      <c r="E260" s="26"/>
      <c r="F260" s="26"/>
      <c r="G260" s="165"/>
      <c r="H260" s="26"/>
      <c r="I260" s="26"/>
      <c r="J260" s="166"/>
      <c r="K260" s="166"/>
      <c r="L260" s="166"/>
      <c r="M260" s="166"/>
      <c r="N260" s="166"/>
      <c r="O260" s="166"/>
      <c r="P260" s="166"/>
      <c r="Q260" s="166"/>
      <c r="R260" s="166"/>
      <c r="S260" s="26"/>
      <c r="T260" s="166"/>
    </row>
    <row r="261" spans="5:20">
      <c r="E261" s="26"/>
      <c r="F261" s="26"/>
      <c r="G261" s="165"/>
      <c r="H261" s="26"/>
      <c r="I261" s="26"/>
      <c r="J261" s="166"/>
      <c r="K261" s="166"/>
      <c r="L261" s="166"/>
      <c r="M261" s="166"/>
      <c r="N261" s="166"/>
      <c r="O261" s="166"/>
      <c r="P261" s="166"/>
      <c r="Q261" s="166"/>
      <c r="R261" s="166"/>
      <c r="S261" s="26"/>
      <c r="T261" s="166"/>
    </row>
    <row r="262" spans="5:20">
      <c r="E262" s="26"/>
      <c r="F262" s="26"/>
      <c r="G262" s="165"/>
      <c r="H262" s="26"/>
      <c r="I262" s="26"/>
      <c r="J262" s="166"/>
      <c r="K262" s="166"/>
      <c r="L262" s="166"/>
      <c r="M262" s="166"/>
      <c r="N262" s="166"/>
      <c r="O262" s="166"/>
      <c r="P262" s="166"/>
      <c r="Q262" s="166"/>
      <c r="R262" s="166"/>
      <c r="S262" s="26"/>
      <c r="T262" s="166"/>
    </row>
    <row r="263" spans="5:20">
      <c r="E263" s="26"/>
      <c r="F263" s="26"/>
      <c r="G263" s="165"/>
      <c r="H263" s="26"/>
      <c r="I263" s="26"/>
      <c r="J263" s="166"/>
      <c r="K263" s="166"/>
      <c r="L263" s="166"/>
      <c r="M263" s="166"/>
      <c r="N263" s="166"/>
      <c r="O263" s="166"/>
      <c r="P263" s="166"/>
      <c r="Q263" s="166"/>
      <c r="R263" s="166"/>
      <c r="S263" s="26"/>
      <c r="T263" s="166"/>
    </row>
    <row r="264" spans="5:20">
      <c r="E264" s="26"/>
      <c r="F264" s="26"/>
      <c r="G264" s="165"/>
      <c r="H264" s="26"/>
      <c r="I264" s="26"/>
      <c r="J264" s="166"/>
      <c r="K264" s="166"/>
      <c r="L264" s="166"/>
      <c r="M264" s="166"/>
      <c r="N264" s="166"/>
      <c r="O264" s="166"/>
      <c r="P264" s="166"/>
      <c r="Q264" s="166"/>
      <c r="R264" s="166"/>
      <c r="S264" s="26"/>
      <c r="T264" s="166"/>
    </row>
    <row r="265" spans="5:20">
      <c r="E265" s="26"/>
      <c r="F265" s="26"/>
      <c r="G265" s="165"/>
      <c r="H265" s="26"/>
      <c r="I265" s="26"/>
      <c r="J265" s="166"/>
      <c r="K265" s="166"/>
      <c r="L265" s="166"/>
      <c r="M265" s="166"/>
      <c r="N265" s="166"/>
      <c r="O265" s="166"/>
      <c r="P265" s="166"/>
      <c r="Q265" s="166"/>
      <c r="R265" s="166"/>
      <c r="S265" s="26"/>
      <c r="T265" s="166"/>
    </row>
    <row r="266" spans="5:20">
      <c r="E266" s="26"/>
      <c r="F266" s="26"/>
      <c r="G266" s="165"/>
      <c r="H266" s="26"/>
      <c r="I266" s="26"/>
      <c r="J266" s="166"/>
      <c r="K266" s="166"/>
      <c r="L266" s="166"/>
      <c r="M266" s="166"/>
      <c r="N266" s="166"/>
      <c r="O266" s="166"/>
      <c r="P266" s="166"/>
      <c r="Q266" s="166"/>
      <c r="R266" s="166"/>
      <c r="S266" s="26"/>
      <c r="T266" s="166"/>
    </row>
    <row r="267" spans="5:20">
      <c r="T267" s="166"/>
    </row>
    <row r="268" spans="5:20">
      <c r="T268" s="166"/>
    </row>
  </sheetData>
  <autoFilter ref="A2:AQ90" xr:uid="{436F9945-3F33-418B-A865-30226C69B4B9}"/>
  <mergeCells count="6">
    <mergeCell ref="T1:T2"/>
    <mergeCell ref="B1:C1"/>
    <mergeCell ref="K1:L1"/>
    <mergeCell ref="N1:O1"/>
    <mergeCell ref="P1:R1"/>
    <mergeCell ref="E1:F1"/>
  </mergeCells>
  <hyperlinks>
    <hyperlink ref="B94" r:id="rId1" xr:uid="{5A378296-0C24-488A-8661-B5858E32AF1B}"/>
    <hyperlink ref="B95" r:id="rId2" location="chained_dollar" xr:uid="{561ED627-505D-47DF-BA37-058C31CBCDFC}"/>
  </hyperlinks>
  <pageMargins left="0.7" right="0.7" top="0.75" bottom="0.75" header="0.3" footer="0.3"/>
  <pageSetup orientation="portrait" horizontalDpi="90" verticalDpi="90"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1CC16-1BCE-4B78-B754-C49E08B3723B}">
  <dimension ref="A1:AR268"/>
  <sheetViews>
    <sheetView zoomScale="77" zoomScaleNormal="77" workbookViewId="0">
      <selection activeCell="W33" sqref="W33"/>
    </sheetView>
  </sheetViews>
  <sheetFormatPr defaultColWidth="9" defaultRowHeight="14.4"/>
  <cols>
    <col min="1" max="2" width="24" style="72" customWidth="1"/>
    <col min="3" max="4" width="11" style="72" customWidth="1"/>
    <col min="10" max="10" width="17.44140625" bestFit="1" customWidth="1"/>
    <col min="11" max="11" width="16.5546875" bestFit="1" customWidth="1"/>
    <col min="12" max="12" width="12.6640625" bestFit="1" customWidth="1"/>
    <col min="13" max="13" width="16.6640625" bestFit="1" customWidth="1"/>
    <col min="14" max="14" width="16.5546875" bestFit="1" customWidth="1"/>
    <col min="15" max="15" width="12.6640625" bestFit="1" customWidth="1"/>
    <col min="16" max="16" width="21.44140625" bestFit="1" customWidth="1"/>
    <col min="17" max="17" width="16.5546875" bestFit="1" customWidth="1"/>
    <col min="18" max="18" width="12.6640625" bestFit="1" customWidth="1"/>
    <col min="20" max="20" width="15.5546875" customWidth="1"/>
    <col min="21" max="21" width="16.88671875" customWidth="1"/>
    <col min="23" max="23" width="12" bestFit="1" customWidth="1"/>
    <col min="24" max="24" width="9.6640625" bestFit="1" customWidth="1"/>
  </cols>
  <sheetData>
    <row r="1" spans="1:44" ht="32.25" customHeight="1">
      <c r="A1" s="153" t="s">
        <v>450</v>
      </c>
      <c r="B1" s="271" t="s">
        <v>371</v>
      </c>
      <c r="C1" s="272"/>
      <c r="D1" s="75"/>
      <c r="E1" s="274" t="s">
        <v>466</v>
      </c>
      <c r="F1" s="274"/>
      <c r="G1" s="164"/>
      <c r="H1" s="164"/>
      <c r="I1" s="164"/>
      <c r="J1" s="164" t="s">
        <v>380</v>
      </c>
      <c r="K1" s="273" t="s">
        <v>117</v>
      </c>
      <c r="L1" s="273"/>
      <c r="M1" s="164" t="s">
        <v>380</v>
      </c>
      <c r="N1" s="273" t="s">
        <v>118</v>
      </c>
      <c r="O1" s="273"/>
      <c r="P1" s="273" t="s">
        <v>119</v>
      </c>
      <c r="Q1" s="273"/>
      <c r="R1" s="273"/>
      <c r="S1" s="26"/>
      <c r="T1" s="270" t="s">
        <v>123</v>
      </c>
      <c r="U1" s="270" t="s">
        <v>522</v>
      </c>
      <c r="V1" s="154"/>
      <c r="W1" s="154">
        <f>MATCH(W2,$E:$E,0)</f>
        <v>3</v>
      </c>
      <c r="X1" s="154">
        <f t="shared" ref="X1:AP1" si="0">MATCH(X2,$E:$E,0)</f>
        <v>15</v>
      </c>
      <c r="Y1" s="154">
        <f t="shared" si="0"/>
        <v>27</v>
      </c>
      <c r="Z1" s="154">
        <f t="shared" si="0"/>
        <v>39</v>
      </c>
      <c r="AA1" s="154">
        <f t="shared" si="0"/>
        <v>51</v>
      </c>
      <c r="AB1" s="154">
        <f t="shared" si="0"/>
        <v>63</v>
      </c>
      <c r="AC1" s="154">
        <f t="shared" si="0"/>
        <v>75</v>
      </c>
      <c r="AD1" s="154">
        <f t="shared" si="0"/>
        <v>87</v>
      </c>
      <c r="AE1" s="154">
        <f t="shared" si="0"/>
        <v>99</v>
      </c>
      <c r="AF1" s="154">
        <f t="shared" si="0"/>
        <v>111</v>
      </c>
      <c r="AG1" s="154">
        <f t="shared" si="0"/>
        <v>123</v>
      </c>
      <c r="AH1" s="154">
        <f t="shared" si="0"/>
        <v>135</v>
      </c>
      <c r="AI1" s="154">
        <f t="shared" si="0"/>
        <v>147</v>
      </c>
      <c r="AJ1" s="154">
        <f t="shared" si="0"/>
        <v>159</v>
      </c>
      <c r="AK1" s="154">
        <f t="shared" si="0"/>
        <v>171</v>
      </c>
      <c r="AL1" s="154">
        <f t="shared" si="0"/>
        <v>183</v>
      </c>
      <c r="AM1" s="154">
        <f t="shared" si="0"/>
        <v>195</v>
      </c>
      <c r="AN1" s="154">
        <f t="shared" si="0"/>
        <v>207</v>
      </c>
      <c r="AO1" s="154">
        <f t="shared" si="0"/>
        <v>219</v>
      </c>
      <c r="AP1" s="154">
        <f t="shared" si="0"/>
        <v>231</v>
      </c>
    </row>
    <row r="2" spans="1:44">
      <c r="A2" s="156"/>
      <c r="B2" s="157" t="s">
        <v>76</v>
      </c>
      <c r="C2" s="158">
        <v>2018</v>
      </c>
      <c r="D2" s="76"/>
      <c r="E2" s="164" t="s">
        <v>76</v>
      </c>
      <c r="F2" s="164" t="s">
        <v>22</v>
      </c>
      <c r="G2" s="164"/>
      <c r="H2" s="164"/>
      <c r="I2" s="164"/>
      <c r="J2" s="164" t="s">
        <v>120</v>
      </c>
      <c r="K2" s="164" t="s">
        <v>121</v>
      </c>
      <c r="L2" s="164" t="s">
        <v>122</v>
      </c>
      <c r="M2" s="164" t="s">
        <v>120</v>
      </c>
      <c r="N2" s="164" t="s">
        <v>121</v>
      </c>
      <c r="O2" s="164" t="s">
        <v>122</v>
      </c>
      <c r="P2" s="164" t="s">
        <v>120</v>
      </c>
      <c r="Q2" s="164" t="s">
        <v>121</v>
      </c>
      <c r="R2" s="164" t="s">
        <v>122</v>
      </c>
      <c r="S2" s="26"/>
      <c r="T2" s="270"/>
      <c r="U2" s="270"/>
      <c r="V2" s="154"/>
      <c r="W2" s="154">
        <v>2017</v>
      </c>
      <c r="X2" s="154">
        <v>2018</v>
      </c>
      <c r="Y2" s="154">
        <v>2019</v>
      </c>
      <c r="Z2" s="154">
        <v>2020</v>
      </c>
      <c r="AA2" s="154">
        <v>2021</v>
      </c>
      <c r="AB2" s="154">
        <v>2022</v>
      </c>
      <c r="AC2" s="154">
        <v>2023</v>
      </c>
      <c r="AD2" s="154">
        <v>2024</v>
      </c>
      <c r="AE2" s="154">
        <v>2025</v>
      </c>
      <c r="AF2" s="154">
        <v>2026</v>
      </c>
      <c r="AG2" s="154">
        <v>2027</v>
      </c>
      <c r="AH2" s="154">
        <v>2028</v>
      </c>
      <c r="AI2" s="154">
        <v>2029</v>
      </c>
      <c r="AJ2" s="154">
        <v>2030</v>
      </c>
      <c r="AK2" s="154">
        <v>2031</v>
      </c>
      <c r="AL2" s="154">
        <v>2032</v>
      </c>
      <c r="AM2" s="154">
        <v>2033</v>
      </c>
      <c r="AN2" s="154">
        <v>2034</v>
      </c>
      <c r="AO2" s="154">
        <v>2035</v>
      </c>
      <c r="AP2" s="154">
        <v>2036</v>
      </c>
    </row>
    <row r="3" spans="1:44">
      <c r="A3" s="156"/>
      <c r="B3" s="159">
        <v>1970</v>
      </c>
      <c r="C3" s="160">
        <v>19.633099127224824</v>
      </c>
      <c r="D3" s="77"/>
      <c r="E3" s="26">
        <f>YEAR(G3)</f>
        <v>2017</v>
      </c>
      <c r="F3" s="26">
        <f>MONTH(G3)</f>
        <v>1</v>
      </c>
      <c r="G3" s="165">
        <v>42736</v>
      </c>
      <c r="H3" s="26" t="s">
        <v>124</v>
      </c>
      <c r="I3" s="26"/>
      <c r="J3" s="166">
        <v>4.1257458180575419</v>
      </c>
      <c r="K3" s="166">
        <v>0.17129999999999992</v>
      </c>
      <c r="L3" s="166">
        <v>4.2970458180575415</v>
      </c>
      <c r="M3" s="166">
        <v>4.1257458180575419</v>
      </c>
      <c r="N3" s="166">
        <v>1.0058187458141103</v>
      </c>
      <c r="O3" s="166">
        <v>5.1315645638716525</v>
      </c>
      <c r="P3" s="166">
        <v>3.9358461585577911</v>
      </c>
      <c r="Q3" s="166">
        <v>0.46818750000000003</v>
      </c>
      <c r="R3" s="166">
        <v>4.4040336585577915</v>
      </c>
      <c r="S3" s="26"/>
      <c r="T3" s="167">
        <f>AVERAGE(J3,M3,P3)</f>
        <v>4.0624459315576251</v>
      </c>
      <c r="U3" s="167">
        <f>AVERAGE(L3,O3,R3)</f>
        <v>4.6108813468289949</v>
      </c>
      <c r="V3" s="154">
        <v>1</v>
      </c>
      <c r="W3" s="163">
        <f t="shared" ref="W3:AF14" ca="1" si="1">OFFSET($T$1,W$1+$V3-2,0)</f>
        <v>4.0624459315576251</v>
      </c>
      <c r="X3" s="163">
        <f t="shared" ca="1" si="1"/>
        <v>3.6737203336364259</v>
      </c>
      <c r="Y3" s="163">
        <f t="shared" ca="1" si="1"/>
        <v>3.7145876810692804</v>
      </c>
      <c r="Z3" s="163">
        <f t="shared" ca="1" si="1"/>
        <v>3.9105002426664441</v>
      </c>
      <c r="AA3" s="163">
        <f t="shared" ca="1" si="1"/>
        <v>3.9395378291236476</v>
      </c>
      <c r="AB3" s="163">
        <f t="shared" ca="1" si="1"/>
        <v>3.9395873346661752</v>
      </c>
      <c r="AC3" s="163">
        <f t="shared" ca="1" si="1"/>
        <v>3.9690133572356445</v>
      </c>
      <c r="AD3" s="163">
        <f t="shared" ca="1" si="1"/>
        <v>3.9764486577535543</v>
      </c>
      <c r="AE3" s="163">
        <f t="shared" ca="1" si="1"/>
        <v>3.9766521387856595</v>
      </c>
      <c r="AF3" s="163">
        <f t="shared" ca="1" si="1"/>
        <v>3.99407765618585</v>
      </c>
      <c r="AG3" s="163">
        <f t="shared" ref="AG3:AP14" ca="1" si="2">OFFSET($T$1,AG$1+$V3-2,0)</f>
        <v>4.0140564708945226</v>
      </c>
      <c r="AH3" s="163">
        <f t="shared" ca="1" si="2"/>
        <v>4.0385648724877194</v>
      </c>
      <c r="AI3" s="163">
        <f t="shared" ca="1" si="2"/>
        <v>4.0696281034205413</v>
      </c>
      <c r="AJ3" s="163">
        <f t="shared" ca="1" si="2"/>
        <v>4.1030542459683064</v>
      </c>
      <c r="AK3" s="163">
        <f t="shared" ca="1" si="2"/>
        <v>4.1131738151720034</v>
      </c>
      <c r="AL3" s="163">
        <f t="shared" ca="1" si="2"/>
        <v>4.1270817306269585</v>
      </c>
      <c r="AM3" s="163">
        <f t="shared" ca="1" si="2"/>
        <v>4.1427465439093458</v>
      </c>
      <c r="AN3" s="163">
        <f t="shared" ca="1" si="2"/>
        <v>4.1614618165432162</v>
      </c>
      <c r="AO3" s="163">
        <f t="shared" ca="1" si="2"/>
        <v>4.181681852158996</v>
      </c>
      <c r="AP3" s="163">
        <f t="shared" ca="1" si="2"/>
        <v>4.2051435483525657</v>
      </c>
      <c r="AQ3" s="73"/>
      <c r="AR3" s="73"/>
    </row>
    <row r="4" spans="1:44">
      <c r="A4" s="156"/>
      <c r="B4" s="159">
        <v>1971</v>
      </c>
      <c r="C4" s="160">
        <v>20.627105576019265</v>
      </c>
      <c r="D4" s="77"/>
      <c r="E4" s="26">
        <f t="shared" ref="E4:E67" si="3">YEAR(G4)</f>
        <v>2017</v>
      </c>
      <c r="F4" s="26">
        <f t="shared" ref="F4:F67" si="4">MONTH(G4)</f>
        <v>2</v>
      </c>
      <c r="G4" s="165">
        <v>42767</v>
      </c>
      <c r="H4" s="26" t="s">
        <v>125</v>
      </c>
      <c r="I4" s="26"/>
      <c r="J4" s="166">
        <v>4.2098626634901875</v>
      </c>
      <c r="K4" s="166">
        <v>0.17129999999999992</v>
      </c>
      <c r="L4" s="166">
        <v>4.381162663490187</v>
      </c>
      <c r="M4" s="166">
        <v>4.2098626634901875</v>
      </c>
      <c r="N4" s="166">
        <v>1.0058187458141103</v>
      </c>
      <c r="O4" s="166">
        <v>5.215681409304298</v>
      </c>
      <c r="P4" s="166">
        <v>4.0160912772747626</v>
      </c>
      <c r="Q4" s="166">
        <v>0.46818750000000003</v>
      </c>
      <c r="R4" s="166">
        <v>4.4842787772747625</v>
      </c>
      <c r="S4" s="26"/>
      <c r="T4" s="167">
        <f t="shared" ref="T4:T67" si="5">AVERAGE(J4,M4,P4)</f>
        <v>4.1452722014183792</v>
      </c>
      <c r="U4" s="167">
        <f t="shared" ref="U4:U67" si="6">AVERAGE(L4,O4,R4)</f>
        <v>4.6937076166897498</v>
      </c>
      <c r="V4" s="154">
        <v>2</v>
      </c>
      <c r="W4" s="163">
        <f t="shared" ca="1" si="1"/>
        <v>4.1452722014183792</v>
      </c>
      <c r="X4" s="163">
        <f t="shared" ca="1" si="1"/>
        <v>3.7181095399490012</v>
      </c>
      <c r="Y4" s="163">
        <f t="shared" ca="1" si="1"/>
        <v>3.791182408790347</v>
      </c>
      <c r="Z4" s="163">
        <f t="shared" ca="1" si="1"/>
        <v>4.0056722610013908</v>
      </c>
      <c r="AA4" s="163">
        <f t="shared" ca="1" si="1"/>
        <v>4.0233253894048193</v>
      </c>
      <c r="AB4" s="163">
        <f t="shared" ca="1" si="1"/>
        <v>4.0201793210258829</v>
      </c>
      <c r="AC4" s="163">
        <f t="shared" ca="1" si="1"/>
        <v>4.0522652025734303</v>
      </c>
      <c r="AD4" s="163">
        <f t="shared" ca="1" si="1"/>
        <v>4.0582844682163648</v>
      </c>
      <c r="AE4" s="163">
        <f t="shared" ca="1" si="1"/>
        <v>4.0578038754409578</v>
      </c>
      <c r="AF4" s="163">
        <f t="shared" ca="1" si="1"/>
        <v>4.0768835107625945</v>
      </c>
      <c r="AG4" s="163">
        <f t="shared" ca="1" si="2"/>
        <v>4.0975699818566698</v>
      </c>
      <c r="AH4" s="163">
        <f t="shared" ca="1" si="2"/>
        <v>4.122956702907536</v>
      </c>
      <c r="AI4" s="163">
        <f t="shared" ca="1" si="2"/>
        <v>4.1551968831432546</v>
      </c>
      <c r="AJ4" s="163">
        <f t="shared" ca="1" si="2"/>
        <v>4.1895318125711682</v>
      </c>
      <c r="AK4" s="163">
        <f t="shared" ca="1" si="2"/>
        <v>4.1980458201358815</v>
      </c>
      <c r="AL4" s="163">
        <f t="shared" ca="1" si="2"/>
        <v>4.2123952710814949</v>
      </c>
      <c r="AM4" s="163">
        <f t="shared" ca="1" si="2"/>
        <v>4.2285295163669474</v>
      </c>
      <c r="AN4" s="163">
        <f t="shared" ca="1" si="2"/>
        <v>4.247877338566254</v>
      </c>
      <c r="AO4" s="163">
        <f t="shared" ca="1" si="2"/>
        <v>4.2686470427708434</v>
      </c>
      <c r="AP4" s="163">
        <f t="shared" ca="1" si="2"/>
        <v>4.2928520955356282</v>
      </c>
      <c r="AQ4" s="73"/>
      <c r="AR4" s="73"/>
    </row>
    <row r="5" spans="1:44">
      <c r="A5" s="156"/>
      <c r="B5" s="159">
        <v>1972</v>
      </c>
      <c r="C5" s="160">
        <v>21.51627717611397</v>
      </c>
      <c r="D5" s="77"/>
      <c r="E5" s="26">
        <f t="shared" si="3"/>
        <v>2017</v>
      </c>
      <c r="F5" s="26">
        <f t="shared" si="4"/>
        <v>3</v>
      </c>
      <c r="G5" s="165">
        <v>42795</v>
      </c>
      <c r="H5" s="26" t="s">
        <v>126</v>
      </c>
      <c r="I5" s="26"/>
      <c r="J5" s="166">
        <v>3.7591922497561625</v>
      </c>
      <c r="K5" s="166">
        <v>0.17129999999999992</v>
      </c>
      <c r="L5" s="166">
        <v>3.9304922497561625</v>
      </c>
      <c r="M5" s="166">
        <v>3.7591922497561625</v>
      </c>
      <c r="N5" s="166">
        <v>1.0058187458141103</v>
      </c>
      <c r="O5" s="166">
        <v>4.7650109955702726</v>
      </c>
      <c r="P5" s="166">
        <v>3.5861643028820875</v>
      </c>
      <c r="Q5" s="166">
        <v>0.46818750000000003</v>
      </c>
      <c r="R5" s="166">
        <v>4.0543518028820875</v>
      </c>
      <c r="S5" s="26"/>
      <c r="T5" s="167">
        <f t="shared" si="5"/>
        <v>3.7015162674648039</v>
      </c>
      <c r="U5" s="167">
        <f t="shared" si="6"/>
        <v>4.2499516827361745</v>
      </c>
      <c r="V5" s="154">
        <v>3</v>
      </c>
      <c r="W5" s="163">
        <f t="shared" ca="1" si="1"/>
        <v>3.7015162674648039</v>
      </c>
      <c r="X5" s="163">
        <f t="shared" ca="1" si="1"/>
        <v>3.2928365207933745</v>
      </c>
      <c r="Y5" s="163">
        <f t="shared" ca="1" si="1"/>
        <v>3.3861007257277564</v>
      </c>
      <c r="Z5" s="163">
        <f t="shared" ca="1" si="1"/>
        <v>3.5906510522322801</v>
      </c>
      <c r="AA5" s="163">
        <f t="shared" ca="1" si="1"/>
        <v>3.5957200052822831</v>
      </c>
      <c r="AB5" s="163">
        <f t="shared" ca="1" si="1"/>
        <v>3.5900563414604818</v>
      </c>
      <c r="AC5" s="163">
        <f t="shared" ca="1" si="1"/>
        <v>3.6205467913554181</v>
      </c>
      <c r="AD5" s="163">
        <f t="shared" ca="1" si="1"/>
        <v>3.6245218764545633</v>
      </c>
      <c r="AE5" s="163">
        <f t="shared" ca="1" si="1"/>
        <v>3.6234781841938912</v>
      </c>
      <c r="AF5" s="163">
        <f t="shared" ca="1" si="1"/>
        <v>3.6416751228712712</v>
      </c>
      <c r="AG5" s="163">
        <f t="shared" ca="1" si="2"/>
        <v>3.6604152574625153</v>
      </c>
      <c r="AH5" s="163">
        <f t="shared" ca="1" si="2"/>
        <v>3.6834224042529526</v>
      </c>
      <c r="AI5" s="163">
        <f t="shared" ca="1" si="2"/>
        <v>3.7126966659175502</v>
      </c>
      <c r="AJ5" s="163">
        <f t="shared" ca="1" si="2"/>
        <v>3.7435589578014983</v>
      </c>
      <c r="AK5" s="163">
        <f t="shared" ca="1" si="2"/>
        <v>3.7495436132877251</v>
      </c>
      <c r="AL5" s="163">
        <f t="shared" ca="1" si="2"/>
        <v>3.7624980052272305</v>
      </c>
      <c r="AM5" s="163">
        <f t="shared" ca="1" si="2"/>
        <v>3.777039051940553</v>
      </c>
      <c r="AN5" s="163">
        <f t="shared" ca="1" si="2"/>
        <v>3.7945397785702801</v>
      </c>
      <c r="AO5" s="163">
        <f t="shared" ca="1" si="2"/>
        <v>3.8132087694537553</v>
      </c>
      <c r="AP5" s="163">
        <f t="shared" ca="1" si="2"/>
        <v>3.8350592878750951</v>
      </c>
      <c r="AQ5" s="73"/>
      <c r="AR5" s="73"/>
    </row>
    <row r="6" spans="1:44">
      <c r="A6" s="156"/>
      <c r="B6" s="159">
        <v>1973</v>
      </c>
      <c r="C6" s="160">
        <v>22.697310806390004</v>
      </c>
      <c r="D6" s="77"/>
      <c r="E6" s="26">
        <f t="shared" si="3"/>
        <v>2017</v>
      </c>
      <c r="F6" s="26">
        <f t="shared" si="4"/>
        <v>4</v>
      </c>
      <c r="G6" s="165">
        <v>42826</v>
      </c>
      <c r="H6" s="26" t="s">
        <v>127</v>
      </c>
      <c r="I6" s="26"/>
      <c r="J6" s="166">
        <v>3.7529599834817402</v>
      </c>
      <c r="K6" s="166">
        <v>0.17129999999999992</v>
      </c>
      <c r="L6" s="166">
        <v>3.9242599834817402</v>
      </c>
      <c r="M6" s="166">
        <v>3.7529599834817402</v>
      </c>
      <c r="N6" s="166">
        <v>1.0058187458141103</v>
      </c>
      <c r="O6" s="166">
        <v>4.7587787292958508</v>
      </c>
      <c r="P6" s="166">
        <v>3.5802188951044354</v>
      </c>
      <c r="Q6" s="166">
        <v>0.46818750000000003</v>
      </c>
      <c r="R6" s="166">
        <v>4.0484063951044353</v>
      </c>
      <c r="S6" s="26"/>
      <c r="T6" s="167">
        <f t="shared" si="5"/>
        <v>3.6953796206893053</v>
      </c>
      <c r="U6" s="167">
        <f t="shared" si="6"/>
        <v>4.2438150359606759</v>
      </c>
      <c r="V6" s="154">
        <v>4</v>
      </c>
      <c r="W6" s="163">
        <f t="shared" ca="1" si="1"/>
        <v>3.6953796206893053</v>
      </c>
      <c r="X6" s="163">
        <f t="shared" ca="1" si="1"/>
        <v>3.260177266306409</v>
      </c>
      <c r="Y6" s="163">
        <f t="shared" ca="1" si="1"/>
        <v>3.3812542743233363</v>
      </c>
      <c r="Z6" s="163">
        <f t="shared" ca="1" si="1"/>
        <v>3.5984657417586767</v>
      </c>
      <c r="AA6" s="163">
        <f t="shared" ca="1" si="1"/>
        <v>3.5928496324674897</v>
      </c>
      <c r="AB6" s="163">
        <f t="shared" ca="1" si="1"/>
        <v>3.5843457049842424</v>
      </c>
      <c r="AC6" s="163">
        <f t="shared" ca="1" si="1"/>
        <v>3.6166219532187363</v>
      </c>
      <c r="AD6" s="163">
        <f t="shared" ca="1" si="1"/>
        <v>3.6191929572820798</v>
      </c>
      <c r="AE6" s="163">
        <f t="shared" ca="1" si="1"/>
        <v>3.6175374667047961</v>
      </c>
      <c r="AF6" s="163">
        <f t="shared" ca="1" si="1"/>
        <v>3.6368621135893213</v>
      </c>
      <c r="AG6" s="163">
        <f t="shared" ca="1" si="2"/>
        <v>3.6558389077139259</v>
      </c>
      <c r="AH6" s="163">
        <f t="shared" ca="1" si="2"/>
        <v>3.6791454530898928</v>
      </c>
      <c r="AI6" s="163">
        <f t="shared" ca="1" si="2"/>
        <v>3.708855805015689</v>
      </c>
      <c r="AJ6" s="163">
        <f t="shared" ca="1" si="2"/>
        <v>3.7398695489378553</v>
      </c>
      <c r="AK6" s="163">
        <f t="shared" ca="1" si="2"/>
        <v>3.7442290466907764</v>
      </c>
      <c r="AL6" s="163">
        <f t="shared" ca="1" si="2"/>
        <v>3.7573027934648713</v>
      </c>
      <c r="AM6" s="163">
        <f t="shared" ca="1" si="2"/>
        <v>3.7719535008943783</v>
      </c>
      <c r="AN6" s="163">
        <f t="shared" ca="1" si="2"/>
        <v>3.7896489519915555</v>
      </c>
      <c r="AO6" s="163">
        <f t="shared" ca="1" si="2"/>
        <v>3.8084094948984313</v>
      </c>
      <c r="AP6" s="163">
        <f t="shared" ca="1" si="2"/>
        <v>3.830460038686716</v>
      </c>
      <c r="AQ6" s="73"/>
      <c r="AR6" s="73"/>
    </row>
    <row r="7" spans="1:44">
      <c r="A7" s="156"/>
      <c r="B7" s="159">
        <v>1974</v>
      </c>
      <c r="C7" s="160">
        <v>24.746005646638771</v>
      </c>
      <c r="D7" s="77"/>
      <c r="E7" s="26">
        <f t="shared" si="3"/>
        <v>2017</v>
      </c>
      <c r="F7" s="26">
        <f t="shared" si="4"/>
        <v>5</v>
      </c>
      <c r="G7" s="165">
        <v>42856</v>
      </c>
      <c r="H7" s="26" t="s">
        <v>128</v>
      </c>
      <c r="I7" s="26"/>
      <c r="J7" s="166">
        <v>3.9472960745288757</v>
      </c>
      <c r="K7" s="166">
        <v>0.17129999999999992</v>
      </c>
      <c r="L7" s="166">
        <v>4.1185960745288757</v>
      </c>
      <c r="M7" s="166">
        <v>3.9472960745288757</v>
      </c>
      <c r="N7" s="166">
        <v>1.0058187458141103</v>
      </c>
      <c r="O7" s="166">
        <v>4.9531148203429858</v>
      </c>
      <c r="P7" s="166">
        <v>3.7656100925139548</v>
      </c>
      <c r="Q7" s="166">
        <v>0.46818750000000003</v>
      </c>
      <c r="R7" s="166">
        <v>4.2337975925139553</v>
      </c>
      <c r="S7" s="26"/>
      <c r="T7" s="167">
        <f t="shared" si="5"/>
        <v>3.8867340805239023</v>
      </c>
      <c r="U7" s="167">
        <f t="shared" si="6"/>
        <v>4.4351694957952725</v>
      </c>
      <c r="V7" s="154">
        <v>5</v>
      </c>
      <c r="W7" s="163">
        <f t="shared" ca="1" si="1"/>
        <v>3.8867340805239023</v>
      </c>
      <c r="X7" s="163">
        <f t="shared" ca="1" si="1"/>
        <v>3.4003874135776742</v>
      </c>
      <c r="Y7" s="163">
        <f t="shared" ca="1" si="1"/>
        <v>3.5571496762995931</v>
      </c>
      <c r="Z7" s="163">
        <f t="shared" ca="1" si="1"/>
        <v>3.799282246392663</v>
      </c>
      <c r="AA7" s="163">
        <f t="shared" ca="1" si="1"/>
        <v>3.7821458049577816</v>
      </c>
      <c r="AB7" s="163">
        <f t="shared" ca="1" si="1"/>
        <v>3.7702043120935933</v>
      </c>
      <c r="AC7" s="163">
        <f t="shared" ca="1" si="1"/>
        <v>3.8060833293086351</v>
      </c>
      <c r="AD7" s="163">
        <f t="shared" ca="1" si="1"/>
        <v>3.8073176094861232</v>
      </c>
      <c r="AE7" s="163">
        <f t="shared" ca="1" si="1"/>
        <v>3.804931095738008</v>
      </c>
      <c r="AF7" s="163">
        <f t="shared" ca="1" si="1"/>
        <v>3.8264742468108373</v>
      </c>
      <c r="AG7" s="163">
        <f t="shared" ca="1" si="2"/>
        <v>3.8467152907338473</v>
      </c>
      <c r="AH7" s="163">
        <f t="shared" ca="1" si="2"/>
        <v>3.8715837177473236</v>
      </c>
      <c r="AI7" s="163">
        <f t="shared" ca="1" si="2"/>
        <v>3.903342251723906</v>
      </c>
      <c r="AJ7" s="163">
        <f t="shared" ca="1" si="2"/>
        <v>3.9361750617510118</v>
      </c>
      <c r="AK7" s="163">
        <f t="shared" ca="1" si="2"/>
        <v>3.9390614271717097</v>
      </c>
      <c r="AL7" s="163">
        <f t="shared" ca="1" si="2"/>
        <v>3.9529602839403926</v>
      </c>
      <c r="AM7" s="163">
        <f t="shared" ca="1" si="2"/>
        <v>3.9685103302591087</v>
      </c>
      <c r="AN7" s="163">
        <f t="shared" ca="1" si="2"/>
        <v>3.9873574128078566</v>
      </c>
      <c r="AO7" s="163">
        <f t="shared" ca="1" si="2"/>
        <v>4.0072182620401575</v>
      </c>
      <c r="AP7" s="163">
        <f t="shared" ca="1" si="2"/>
        <v>4.0306591132763314</v>
      </c>
      <c r="AQ7" s="73"/>
      <c r="AR7" s="73"/>
    </row>
    <row r="8" spans="1:44">
      <c r="A8" s="156"/>
      <c r="B8" s="159">
        <v>1975</v>
      </c>
      <c r="C8" s="160">
        <v>27.026559849886514</v>
      </c>
      <c r="D8" s="77"/>
      <c r="E8" s="26">
        <f t="shared" si="3"/>
        <v>2017</v>
      </c>
      <c r="F8" s="26">
        <f t="shared" si="4"/>
        <v>6</v>
      </c>
      <c r="G8" s="165">
        <v>42887</v>
      </c>
      <c r="H8" s="26" t="s">
        <v>129</v>
      </c>
      <c r="I8" s="26"/>
      <c r="J8" s="166">
        <v>3.5547489425823535</v>
      </c>
      <c r="K8" s="166">
        <v>0.17129999999999992</v>
      </c>
      <c r="L8" s="166">
        <v>3.7260489425823535</v>
      </c>
      <c r="M8" s="166">
        <v>3.5547489425823535</v>
      </c>
      <c r="N8" s="166">
        <v>1.0058187458141103</v>
      </c>
      <c r="O8" s="166">
        <v>4.5605676883964641</v>
      </c>
      <c r="P8" s="166">
        <v>3.6788945512539213</v>
      </c>
      <c r="Q8" s="166">
        <v>0.46818750000000003</v>
      </c>
      <c r="R8" s="166">
        <v>4.1470820512539213</v>
      </c>
      <c r="S8" s="26"/>
      <c r="T8" s="167">
        <f t="shared" si="5"/>
        <v>3.5961308121395432</v>
      </c>
      <c r="U8" s="167">
        <f t="shared" si="6"/>
        <v>4.1445662274109134</v>
      </c>
      <c r="V8" s="154">
        <v>6</v>
      </c>
      <c r="W8" s="163">
        <f t="shared" ca="1" si="1"/>
        <v>3.5961308121395432</v>
      </c>
      <c r="X8" s="163">
        <f t="shared" ca="1" si="1"/>
        <v>3.4346620949323907</v>
      </c>
      <c r="Y8" s="163">
        <f t="shared" ca="1" si="1"/>
        <v>3.5234499322937176</v>
      </c>
      <c r="Z8" s="163">
        <f t="shared" ca="1" si="1"/>
        <v>3.6264317956140304</v>
      </c>
      <c r="AA8" s="163">
        <f t="shared" ca="1" si="1"/>
        <v>3.6467863784633994</v>
      </c>
      <c r="AB8" s="163">
        <f t="shared" ca="1" si="1"/>
        <v>3.6609510486505434</v>
      </c>
      <c r="AC8" s="163">
        <f t="shared" ca="1" si="1"/>
        <v>3.6777965341915313</v>
      </c>
      <c r="AD8" s="163">
        <f t="shared" ca="1" si="1"/>
        <v>3.6823574390907106</v>
      </c>
      <c r="AE8" s="163">
        <f t="shared" ca="1" si="1"/>
        <v>3.6902435651698648</v>
      </c>
      <c r="AF8" s="163">
        <f t="shared" ca="1" si="1"/>
        <v>3.7068381879585526</v>
      </c>
      <c r="AG8" s="163">
        <f t="shared" ca="1" si="2"/>
        <v>3.7271301822973011</v>
      </c>
      <c r="AH8" s="163">
        <f t="shared" ca="1" si="2"/>
        <v>3.7524444801023691</v>
      </c>
      <c r="AI8" s="163">
        <f t="shared" ca="1" si="2"/>
        <v>3.7819568819087088</v>
      </c>
      <c r="AJ8" s="163">
        <f t="shared" ca="1" si="2"/>
        <v>3.802840117620566</v>
      </c>
      <c r="AK8" s="163">
        <f t="shared" ca="1" si="2"/>
        <v>3.8147167577422141</v>
      </c>
      <c r="AL8" s="163">
        <f t="shared" ca="1" si="2"/>
        <v>3.828270825638183</v>
      </c>
      <c r="AM8" s="163">
        <f t="shared" ca="1" si="2"/>
        <v>3.8440087690533691</v>
      </c>
      <c r="AN8" s="163">
        <f t="shared" ca="1" si="2"/>
        <v>3.8618617737298044</v>
      </c>
      <c r="AO8" s="163">
        <f t="shared" ca="1" si="2"/>
        <v>3.8819062727528526</v>
      </c>
      <c r="AP8" s="163">
        <f t="shared" ca="1" si="2"/>
        <v>1.9463250534637713</v>
      </c>
      <c r="AQ8" s="73"/>
      <c r="AR8" s="73"/>
    </row>
    <row r="9" spans="1:44">
      <c r="A9" s="156"/>
      <c r="B9" s="159">
        <v>1976</v>
      </c>
      <c r="C9" s="160">
        <v>28.518475223714884</v>
      </c>
      <c r="D9" s="77"/>
      <c r="E9" s="26">
        <f t="shared" si="3"/>
        <v>2017</v>
      </c>
      <c r="F9" s="26">
        <f t="shared" si="4"/>
        <v>7</v>
      </c>
      <c r="G9" s="165">
        <v>42917</v>
      </c>
      <c r="H9" s="26" t="s">
        <v>130</v>
      </c>
      <c r="I9" s="26"/>
      <c r="J9" s="166">
        <v>3.5445650766500898</v>
      </c>
      <c r="K9" s="166">
        <v>0.17129999999999992</v>
      </c>
      <c r="L9" s="166">
        <v>3.7158650766500898</v>
      </c>
      <c r="M9" s="166">
        <v>3.5445650766500898</v>
      </c>
      <c r="N9" s="166">
        <v>1.0058187458141103</v>
      </c>
      <c r="O9" s="166">
        <v>4.5503838224641999</v>
      </c>
      <c r="P9" s="166">
        <v>3.7204085224559673</v>
      </c>
      <c r="Q9" s="166">
        <v>0.46818750000000003</v>
      </c>
      <c r="R9" s="166">
        <v>4.1885960224559673</v>
      </c>
      <c r="S9" s="26"/>
      <c r="T9" s="167">
        <f t="shared" si="5"/>
        <v>3.6031795585853827</v>
      </c>
      <c r="U9" s="167">
        <f t="shared" si="6"/>
        <v>4.151614973856752</v>
      </c>
      <c r="V9" s="154">
        <v>7</v>
      </c>
      <c r="W9" s="163">
        <f t="shared" ca="1" si="1"/>
        <v>3.6031795585853827</v>
      </c>
      <c r="X9" s="163">
        <f t="shared" ca="1" si="1"/>
        <v>3.468889827270718</v>
      </c>
      <c r="Y9" s="163">
        <f t="shared" ca="1" si="1"/>
        <v>3.5719065746409804</v>
      </c>
      <c r="Z9" s="163">
        <f t="shared" ca="1" si="1"/>
        <v>3.6649152494184718</v>
      </c>
      <c r="AA9" s="163">
        <f t="shared" ca="1" si="1"/>
        <v>3.6825385054364301</v>
      </c>
      <c r="AB9" s="163">
        <f t="shared" ca="1" si="1"/>
        <v>3.6987288767427007</v>
      </c>
      <c r="AC9" s="163">
        <f t="shared" ca="1" si="1"/>
        <v>3.7143017203236361</v>
      </c>
      <c r="AD9" s="163">
        <f t="shared" ca="1" si="1"/>
        <v>3.7182763107776151</v>
      </c>
      <c r="AE9" s="163">
        <f t="shared" ca="1" si="1"/>
        <v>3.7274295314018056</v>
      </c>
      <c r="AF9" s="163">
        <f t="shared" ca="1" si="1"/>
        <v>3.7444609444420061</v>
      </c>
      <c r="AG9" s="163">
        <f t="shared" ca="1" si="2"/>
        <v>3.7652974948770335</v>
      </c>
      <c r="AH9" s="163">
        <f t="shared" ca="1" si="2"/>
        <v>3.791356447226486</v>
      </c>
      <c r="AI9" s="163">
        <f t="shared" ca="1" si="2"/>
        <v>3.8213644686278996</v>
      </c>
      <c r="AJ9" s="163">
        <f t="shared" ca="1" si="2"/>
        <v>3.8407905270734943</v>
      </c>
      <c r="AK9" s="163">
        <f t="shared" ca="1" si="2"/>
        <v>3.852927572351835</v>
      </c>
      <c r="AL9" s="163">
        <f t="shared" ca="1" si="2"/>
        <v>3.8667511148450813</v>
      </c>
      <c r="AM9" s="163">
        <f t="shared" ca="1" si="2"/>
        <v>3.8828722857723554</v>
      </c>
      <c r="AN9" s="163">
        <f t="shared" ca="1" si="2"/>
        <v>3.9010250376514648</v>
      </c>
      <c r="AO9" s="163">
        <f t="shared" ca="1" si="2"/>
        <v>3.9215075545390357</v>
      </c>
      <c r="AP9" s="163">
        <f t="shared" ca="1" si="2"/>
        <v>1.6377282981738306</v>
      </c>
      <c r="AQ9" s="73"/>
      <c r="AR9" s="73"/>
    </row>
    <row r="10" spans="1:44">
      <c r="A10" s="156"/>
      <c r="B10" s="161">
        <v>1977</v>
      </c>
      <c r="C10" s="160">
        <v>30.286629291741257</v>
      </c>
      <c r="D10" s="77"/>
      <c r="E10" s="26">
        <f t="shared" si="3"/>
        <v>2017</v>
      </c>
      <c r="F10" s="26">
        <f t="shared" si="4"/>
        <v>8</v>
      </c>
      <c r="G10" s="165">
        <v>42948</v>
      </c>
      <c r="H10" s="26" t="s">
        <v>131</v>
      </c>
      <c r="I10" s="26"/>
      <c r="J10" s="166">
        <v>3.525739230982019</v>
      </c>
      <c r="K10" s="166">
        <v>0.17129999999999992</v>
      </c>
      <c r="L10" s="166">
        <v>3.697039230982019</v>
      </c>
      <c r="M10" s="166">
        <v>3.525739230982019</v>
      </c>
      <c r="N10" s="166">
        <v>1.0058187458141103</v>
      </c>
      <c r="O10" s="166">
        <v>4.5315579767961296</v>
      </c>
      <c r="P10" s="166">
        <v>3.7537511108461632</v>
      </c>
      <c r="Q10" s="166">
        <v>0.46818750000000003</v>
      </c>
      <c r="R10" s="166">
        <v>4.2219386108461636</v>
      </c>
      <c r="S10" s="26"/>
      <c r="T10" s="167">
        <f t="shared" si="5"/>
        <v>3.6017431909367339</v>
      </c>
      <c r="U10" s="167">
        <f t="shared" si="6"/>
        <v>4.1501786062081045</v>
      </c>
      <c r="V10" s="154">
        <v>8</v>
      </c>
      <c r="W10" s="163">
        <f t="shared" ca="1" si="1"/>
        <v>3.6017431909367339</v>
      </c>
      <c r="X10" s="163">
        <f t="shared" ca="1" si="1"/>
        <v>3.4954214311920389</v>
      </c>
      <c r="Y10" s="163">
        <f t="shared" ca="1" si="1"/>
        <v>3.6126661492818086</v>
      </c>
      <c r="Z10" s="163">
        <f t="shared" ca="1" si="1"/>
        <v>3.6953076637496438</v>
      </c>
      <c r="AA10" s="163">
        <f t="shared" ca="1" si="1"/>
        <v>3.710110444582488</v>
      </c>
      <c r="AB10" s="163">
        <f t="shared" ca="1" si="1"/>
        <v>3.7283227421674661</v>
      </c>
      <c r="AC10" s="163">
        <f t="shared" ca="1" si="1"/>
        <v>3.7425638223017974</v>
      </c>
      <c r="AD10" s="163">
        <f t="shared" ca="1" si="1"/>
        <v>3.7459325039771034</v>
      </c>
      <c r="AE10" s="163">
        <f t="shared" ca="1" si="1"/>
        <v>3.7563527844536537</v>
      </c>
      <c r="AF10" s="163">
        <f t="shared" ca="1" si="1"/>
        <v>3.7737878312902198</v>
      </c>
      <c r="AG10" s="163">
        <f t="shared" ca="1" si="2"/>
        <v>3.7951285489438291</v>
      </c>
      <c r="AH10" s="163">
        <f t="shared" ca="1" si="2"/>
        <v>3.8218827399080801</v>
      </c>
      <c r="AI10" s="163">
        <f t="shared" ca="1" si="2"/>
        <v>3.8523232420297515</v>
      </c>
      <c r="AJ10" s="163">
        <f t="shared" ca="1" si="2"/>
        <v>3.8702206188915227</v>
      </c>
      <c r="AK10" s="163">
        <f t="shared" ca="1" si="2"/>
        <v>3.8825935648997394</v>
      </c>
      <c r="AL10" s="163">
        <f t="shared" ca="1" si="2"/>
        <v>3.8966582054429453</v>
      </c>
      <c r="AM10" s="163">
        <f t="shared" ca="1" si="2"/>
        <v>3.9131306988856629</v>
      </c>
      <c r="AN10" s="163">
        <f t="shared" ca="1" si="2"/>
        <v>3.9315450021983644</v>
      </c>
      <c r="AO10" s="163">
        <f t="shared" ca="1" si="2"/>
        <v>3.9524241583462292</v>
      </c>
      <c r="AP10" s="163">
        <f t="shared" ca="1" si="2"/>
        <v>1.3199033687460748</v>
      </c>
      <c r="AQ10" s="73"/>
      <c r="AR10" s="73"/>
    </row>
    <row r="11" spans="1:44">
      <c r="A11" s="156"/>
      <c r="B11" s="161">
        <v>1978</v>
      </c>
      <c r="C11" s="160">
        <v>32.410044434518987</v>
      </c>
      <c r="D11" s="77"/>
      <c r="E11" s="26">
        <f t="shared" si="3"/>
        <v>2017</v>
      </c>
      <c r="F11" s="26">
        <f t="shared" si="4"/>
        <v>9</v>
      </c>
      <c r="G11" s="165">
        <v>42979</v>
      </c>
      <c r="H11" s="26" t="s">
        <v>132</v>
      </c>
      <c r="I11" s="26"/>
      <c r="J11" s="166">
        <v>3.1705566631617628</v>
      </c>
      <c r="K11" s="166">
        <v>0.17129999999999992</v>
      </c>
      <c r="L11" s="166">
        <v>3.3418566631617628</v>
      </c>
      <c r="M11" s="166">
        <v>3.1705566631617628</v>
      </c>
      <c r="N11" s="166">
        <v>1.0058187458141103</v>
      </c>
      <c r="O11" s="166">
        <v>4.1763754089758729</v>
      </c>
      <c r="P11" s="166">
        <v>3.4245896763076069</v>
      </c>
      <c r="Q11" s="166">
        <v>0.46818750000000003</v>
      </c>
      <c r="R11" s="166">
        <v>3.8927771763076069</v>
      </c>
      <c r="S11" s="26"/>
      <c r="T11" s="167">
        <f t="shared" si="5"/>
        <v>3.2552343342103778</v>
      </c>
      <c r="U11" s="167">
        <f t="shared" si="6"/>
        <v>3.8036697494817475</v>
      </c>
      <c r="V11" s="154">
        <v>9</v>
      </c>
      <c r="W11" s="163">
        <f t="shared" ca="1" si="1"/>
        <v>3.2552343342103778</v>
      </c>
      <c r="X11" s="163">
        <f t="shared" ca="1" si="1"/>
        <v>3.1847680056920527</v>
      </c>
      <c r="Y11" s="163">
        <f t="shared" ca="1" si="1"/>
        <v>3.3038326819609316</v>
      </c>
      <c r="Z11" s="163">
        <f t="shared" ca="1" si="1"/>
        <v>3.3690401369805927</v>
      </c>
      <c r="AA11" s="163">
        <f t="shared" ca="1" si="1"/>
        <v>3.3798359355246128</v>
      </c>
      <c r="AB11" s="163">
        <f t="shared" ca="1" si="1"/>
        <v>3.3981582433823245</v>
      </c>
      <c r="AC11" s="163">
        <f t="shared" ca="1" si="1"/>
        <v>3.4098123310575148</v>
      </c>
      <c r="AD11" s="163">
        <f t="shared" ca="1" si="1"/>
        <v>3.4123021300559433</v>
      </c>
      <c r="AE11" s="163">
        <f t="shared" ca="1" si="1"/>
        <v>3.4228864834666619</v>
      </c>
      <c r="AF11" s="163">
        <f t="shared" ca="1" si="1"/>
        <v>3.4390209624642849</v>
      </c>
      <c r="AG11" s="163">
        <f t="shared" ca="1" si="2"/>
        <v>3.4587790503549916</v>
      </c>
      <c r="AH11" s="163">
        <f t="shared" ca="1" si="2"/>
        <v>3.4836071265946775</v>
      </c>
      <c r="AI11" s="163">
        <f t="shared" ca="1" si="2"/>
        <v>3.5115270914003518</v>
      </c>
      <c r="AJ11" s="163">
        <f t="shared" ca="1" si="2"/>
        <v>3.5263063494211568</v>
      </c>
      <c r="AK11" s="163">
        <f t="shared" ca="1" si="2"/>
        <v>3.5377099540936512</v>
      </c>
      <c r="AL11" s="163">
        <f t="shared" ca="1" si="2"/>
        <v>3.5506478909139161</v>
      </c>
      <c r="AM11" s="163">
        <f t="shared" ca="1" si="2"/>
        <v>3.5658640626880778</v>
      </c>
      <c r="AN11" s="163">
        <f t="shared" ca="1" si="2"/>
        <v>3.5827535605984533</v>
      </c>
      <c r="AO11" s="163">
        <f t="shared" ca="1" si="2"/>
        <v>3.6019956470639403</v>
      </c>
      <c r="AP11" s="163">
        <f t="shared" ca="1" si="2"/>
        <v>0.90174333144860397</v>
      </c>
      <c r="AQ11" s="73"/>
      <c r="AR11" s="73"/>
    </row>
    <row r="12" spans="1:44">
      <c r="A12" s="156"/>
      <c r="B12" s="161">
        <v>1979</v>
      </c>
      <c r="C12" s="160">
        <v>35.11084373320238</v>
      </c>
      <c r="D12" s="77"/>
      <c r="E12" s="26">
        <f t="shared" si="3"/>
        <v>2017</v>
      </c>
      <c r="F12" s="26">
        <f t="shared" si="4"/>
        <v>10</v>
      </c>
      <c r="G12" s="165">
        <v>43009</v>
      </c>
      <c r="H12" s="26" t="s">
        <v>133</v>
      </c>
      <c r="I12" s="26"/>
      <c r="J12" s="166">
        <v>3.158889165757421</v>
      </c>
      <c r="K12" s="166">
        <v>0.17129999999999992</v>
      </c>
      <c r="L12" s="166">
        <v>3.330189165757421</v>
      </c>
      <c r="M12" s="166">
        <v>3.158889165757421</v>
      </c>
      <c r="N12" s="166">
        <v>1.0058187458141103</v>
      </c>
      <c r="O12" s="166">
        <v>4.1647079115715311</v>
      </c>
      <c r="P12" s="166">
        <v>3.4620803219605882</v>
      </c>
      <c r="Q12" s="166">
        <v>0.46818750000000003</v>
      </c>
      <c r="R12" s="166">
        <v>3.9302678219605882</v>
      </c>
      <c r="S12" s="26"/>
      <c r="T12" s="167">
        <f t="shared" si="5"/>
        <v>3.2599528844918098</v>
      </c>
      <c r="U12" s="167">
        <f t="shared" si="6"/>
        <v>3.8083882997631804</v>
      </c>
      <c r="V12" s="154">
        <v>10</v>
      </c>
      <c r="W12" s="163">
        <f t="shared" ca="1" si="1"/>
        <v>3.2599528844918098</v>
      </c>
      <c r="X12" s="163">
        <f t="shared" ca="1" si="1"/>
        <v>3.2154560317896035</v>
      </c>
      <c r="Y12" s="163">
        <f t="shared" ca="1" si="1"/>
        <v>3.3480203376395763</v>
      </c>
      <c r="Z12" s="163">
        <f t="shared" ca="1" si="1"/>
        <v>3.4036741874695644</v>
      </c>
      <c r="AA12" s="163">
        <f t="shared" ca="1" si="1"/>
        <v>3.4118579196910566</v>
      </c>
      <c r="AB12" s="163">
        <f t="shared" ca="1" si="1"/>
        <v>3.4321012595918794</v>
      </c>
      <c r="AC12" s="163">
        <f t="shared" ca="1" si="1"/>
        <v>3.4425341935100788</v>
      </c>
      <c r="AD12" s="163">
        <f t="shared" ca="1" si="1"/>
        <v>3.4444631727015316</v>
      </c>
      <c r="AE12" s="163">
        <f t="shared" ca="1" si="1"/>
        <v>3.4562496890766763</v>
      </c>
      <c r="AF12" s="163">
        <f t="shared" ca="1" si="1"/>
        <v>3.472790883825025</v>
      </c>
      <c r="AG12" s="163">
        <f t="shared" ca="1" si="2"/>
        <v>3.4930562532573552</v>
      </c>
      <c r="AH12" s="163">
        <f t="shared" ca="1" si="2"/>
        <v>3.518579362028158</v>
      </c>
      <c r="AI12" s="163">
        <f t="shared" ca="1" si="2"/>
        <v>3.5469548999877318</v>
      </c>
      <c r="AJ12" s="163">
        <f t="shared" ca="1" si="2"/>
        <v>3.5603350506607456</v>
      </c>
      <c r="AK12" s="163">
        <f t="shared" ca="1" si="2"/>
        <v>3.5719800313934367</v>
      </c>
      <c r="AL12" s="163">
        <f t="shared" ca="1" si="2"/>
        <v>3.5851670504600914</v>
      </c>
      <c r="AM12" s="163">
        <f t="shared" ca="1" si="2"/>
        <v>3.6007394101090404</v>
      </c>
      <c r="AN12" s="163">
        <f t="shared" ca="1" si="2"/>
        <v>3.6179044331391199</v>
      </c>
      <c r="AO12" s="163">
        <f t="shared" ca="1" si="2"/>
        <v>3.6375524920589761</v>
      </c>
      <c r="AP12" s="163">
        <f t="shared" ca="1" si="2"/>
        <v>0.60681702657019854</v>
      </c>
      <c r="AQ12" s="73"/>
      <c r="AR12" s="73"/>
    </row>
    <row r="13" spans="1:44">
      <c r="A13" s="156"/>
      <c r="B13" s="161">
        <v>1980</v>
      </c>
      <c r="C13" s="160">
        <v>38.287588716479362</v>
      </c>
      <c r="D13" s="77"/>
      <c r="E13" s="26">
        <f t="shared" si="3"/>
        <v>2017</v>
      </c>
      <c r="F13" s="26">
        <f t="shared" si="4"/>
        <v>11</v>
      </c>
      <c r="G13" s="165">
        <v>43040</v>
      </c>
      <c r="H13" s="26" t="s">
        <v>134</v>
      </c>
      <c r="I13" s="26"/>
      <c r="J13" s="166">
        <v>3.0587072618452713</v>
      </c>
      <c r="K13" s="166">
        <v>0.17129999999999992</v>
      </c>
      <c r="L13" s="166">
        <v>3.2300072618452713</v>
      </c>
      <c r="M13" s="166">
        <v>3.0587072618452713</v>
      </c>
      <c r="N13" s="166">
        <v>1.0058187458141103</v>
      </c>
      <c r="O13" s="166">
        <v>4.0645260076593814</v>
      </c>
      <c r="P13" s="166">
        <v>3.4020783798690633</v>
      </c>
      <c r="Q13" s="166">
        <v>0.46818750000000003</v>
      </c>
      <c r="R13" s="166">
        <v>3.8702658798690632</v>
      </c>
      <c r="S13" s="26"/>
      <c r="T13" s="167">
        <f t="shared" si="5"/>
        <v>3.1731643011865351</v>
      </c>
      <c r="U13" s="167">
        <f t="shared" si="6"/>
        <v>3.7215997164579053</v>
      </c>
      <c r="V13" s="154">
        <v>11</v>
      </c>
      <c r="W13" s="163">
        <f t="shared" ca="1" si="1"/>
        <v>3.1731643011865351</v>
      </c>
      <c r="X13" s="163">
        <f t="shared" ca="1" si="1"/>
        <v>3.155636095219533</v>
      </c>
      <c r="Y13" s="163">
        <f t="shared" ca="1" si="1"/>
        <v>3.2978512195041021</v>
      </c>
      <c r="Z13" s="163">
        <f t="shared" ca="1" si="1"/>
        <v>3.342481719708458</v>
      </c>
      <c r="AA13" s="163">
        <f t="shared" ca="1" si="1"/>
        <v>3.3478488504978494</v>
      </c>
      <c r="AB13" s="163">
        <f t="shared" ca="1" si="1"/>
        <v>3.3694268344786593</v>
      </c>
      <c r="AC13" s="163">
        <f t="shared" ca="1" si="1"/>
        <v>3.3783576262744268</v>
      </c>
      <c r="AD13" s="163">
        <f t="shared" ca="1" si="1"/>
        <v>3.379677048305803</v>
      </c>
      <c r="AE13" s="163">
        <f t="shared" ca="1" si="1"/>
        <v>3.3923235052236023</v>
      </c>
      <c r="AF13" s="163">
        <f t="shared" ca="1" si="1"/>
        <v>3.4088034294313698</v>
      </c>
      <c r="AG13" s="163">
        <f t="shared" ca="1" si="2"/>
        <v>3.4290026427964544</v>
      </c>
      <c r="AH13" s="163">
        <f t="shared" ca="1" si="2"/>
        <v>3.4544980324385777</v>
      </c>
      <c r="AI13" s="163">
        <f t="shared" ca="1" si="2"/>
        <v>3.4825286618084075</v>
      </c>
      <c r="AJ13" s="163">
        <f t="shared" ca="1" si="2"/>
        <v>3.494147737007129</v>
      </c>
      <c r="AK13" s="163">
        <f t="shared" ca="1" si="2"/>
        <v>3.5057050634459794</v>
      </c>
      <c r="AL13" s="163">
        <f t="shared" ca="1" si="2"/>
        <v>3.5187687967294128</v>
      </c>
      <c r="AM13" s="163">
        <f t="shared" ca="1" si="2"/>
        <v>3.5342570247199312</v>
      </c>
      <c r="AN13" s="163">
        <f t="shared" ca="1" si="2"/>
        <v>3.5512133434328312</v>
      </c>
      <c r="AO13" s="163">
        <f t="shared" ca="1" si="2"/>
        <v>3.5707122288875848</v>
      </c>
      <c r="AP13" s="163">
        <f t="shared" ca="1" si="2"/>
        <v>0.29769629423064026</v>
      </c>
      <c r="AQ13" s="73"/>
      <c r="AR13" s="73"/>
    </row>
    <row r="14" spans="1:44">
      <c r="A14" s="156"/>
      <c r="B14" s="161">
        <v>1981</v>
      </c>
      <c r="C14" s="160">
        <v>41.910164838179185</v>
      </c>
      <c r="D14" s="77"/>
      <c r="E14" s="26">
        <f t="shared" si="3"/>
        <v>2017</v>
      </c>
      <c r="F14" s="26">
        <f t="shared" si="4"/>
        <v>12</v>
      </c>
      <c r="G14" s="165">
        <v>43070</v>
      </c>
      <c r="H14" s="26" t="s">
        <v>135</v>
      </c>
      <c r="I14" s="26"/>
      <c r="J14" s="166">
        <v>3.3351444414755949</v>
      </c>
      <c r="K14" s="166">
        <v>0.17129999999999992</v>
      </c>
      <c r="L14" s="166">
        <v>3.5064444414755949</v>
      </c>
      <c r="M14" s="166">
        <v>3.3351444414755949</v>
      </c>
      <c r="N14" s="166">
        <v>1.0058187458141103</v>
      </c>
      <c r="O14" s="166">
        <v>4.340963187289705</v>
      </c>
      <c r="P14" s="166">
        <v>3.7653090799507494</v>
      </c>
      <c r="Q14" s="166">
        <v>0.46818750000000003</v>
      </c>
      <c r="R14" s="166">
        <v>4.2334965799507494</v>
      </c>
      <c r="S14" s="26"/>
      <c r="T14" s="167">
        <f t="shared" si="5"/>
        <v>3.4785326543006465</v>
      </c>
      <c r="U14" s="167">
        <f t="shared" si="6"/>
        <v>4.0269680695720167</v>
      </c>
      <c r="V14" s="154">
        <v>12</v>
      </c>
      <c r="W14" s="163">
        <f t="shared" ca="1" si="1"/>
        <v>3.4785326543006465</v>
      </c>
      <c r="X14" s="163">
        <f t="shared" ca="1" si="1"/>
        <v>3.488039378819273</v>
      </c>
      <c r="Y14" s="163">
        <f t="shared" ca="1" si="1"/>
        <v>3.658622237364797</v>
      </c>
      <c r="Z14" s="163">
        <f t="shared" ca="1" si="1"/>
        <v>3.6969188985788417</v>
      </c>
      <c r="AA14" s="163">
        <f t="shared" ca="1" si="1"/>
        <v>3.6999077157335285</v>
      </c>
      <c r="AB14" s="163">
        <f t="shared" ca="1" si="1"/>
        <v>3.7256492925613292</v>
      </c>
      <c r="AC14" s="163">
        <f t="shared" ca="1" si="1"/>
        <v>3.7340756441091685</v>
      </c>
      <c r="AD14" s="163">
        <f t="shared" ca="1" si="1"/>
        <v>3.7349002382550025</v>
      </c>
      <c r="AE14" s="163">
        <f t="shared" ca="1" si="1"/>
        <v>3.7500711813335585</v>
      </c>
      <c r="AF14" s="163">
        <f t="shared" ca="1" si="1"/>
        <v>3.768559338284208</v>
      </c>
      <c r="AG14" s="163">
        <f t="shared" ca="1" si="2"/>
        <v>3.7912297105714496</v>
      </c>
      <c r="AH14" s="163">
        <f t="shared" ca="1" si="2"/>
        <v>3.8199046742306622</v>
      </c>
      <c r="AI14" s="163">
        <f t="shared" ca="1" si="2"/>
        <v>3.8510901181957085</v>
      </c>
      <c r="AJ14" s="163">
        <f t="shared" ca="1" si="2"/>
        <v>3.8622624264200063</v>
      </c>
      <c r="AK14" s="163">
        <f t="shared" ca="1" si="2"/>
        <v>3.8751796695495311</v>
      </c>
      <c r="AL14" s="163">
        <f t="shared" ca="1" si="2"/>
        <v>3.8897543274365227</v>
      </c>
      <c r="AM14" s="163">
        <f t="shared" ca="1" si="2"/>
        <v>3.9071011551060959</v>
      </c>
      <c r="AN14" s="163">
        <f t="shared" ca="1" si="2"/>
        <v>3.9259658206339219</v>
      </c>
      <c r="AO14" s="163">
        <f t="shared" ca="1" si="2"/>
        <v>3.9477576862151973</v>
      </c>
      <c r="AP14" s="163">
        <f t="shared" ca="1" si="2"/>
        <v>2.9868433530049424E-16</v>
      </c>
      <c r="AQ14" s="73"/>
      <c r="AR14" s="73"/>
    </row>
    <row r="15" spans="1:44">
      <c r="A15" s="156"/>
      <c r="B15" s="161">
        <v>1982</v>
      </c>
      <c r="C15" s="160">
        <v>44.498657257909947</v>
      </c>
      <c r="D15" s="77"/>
      <c r="E15" s="26">
        <f t="shared" si="3"/>
        <v>2018</v>
      </c>
      <c r="F15" s="26">
        <f t="shared" si="4"/>
        <v>1</v>
      </c>
      <c r="G15" s="165">
        <v>43101</v>
      </c>
      <c r="H15" s="26" t="s">
        <v>136</v>
      </c>
      <c r="I15" s="26"/>
      <c r="J15" s="166">
        <v>3.5030565171962165</v>
      </c>
      <c r="K15" s="166">
        <v>0.17129999999999992</v>
      </c>
      <c r="L15" s="166">
        <v>3.6743565171962165</v>
      </c>
      <c r="M15" s="166">
        <v>3.5030565171962165</v>
      </c>
      <c r="N15" s="166">
        <v>1.0058187458141103</v>
      </c>
      <c r="O15" s="166">
        <v>4.508875263010327</v>
      </c>
      <c r="P15" s="166">
        <v>4.0150479665168444</v>
      </c>
      <c r="Q15" s="166">
        <v>0.46818750000000003</v>
      </c>
      <c r="R15" s="166">
        <v>4.4832354665168443</v>
      </c>
      <c r="S15" s="26"/>
      <c r="T15" s="167">
        <f t="shared" si="5"/>
        <v>3.6737203336364259</v>
      </c>
      <c r="U15" s="167">
        <f t="shared" si="6"/>
        <v>4.2221557489077961</v>
      </c>
    </row>
    <row r="16" spans="1:44">
      <c r="A16" s="156"/>
      <c r="B16" s="161">
        <v>1983</v>
      </c>
      <c r="C16" s="160">
        <v>46.231262575945266</v>
      </c>
      <c r="D16" s="77"/>
      <c r="E16" s="26">
        <f t="shared" si="3"/>
        <v>2018</v>
      </c>
      <c r="F16" s="26">
        <f t="shared" si="4"/>
        <v>2</v>
      </c>
      <c r="G16" s="165">
        <v>43132</v>
      </c>
      <c r="H16" s="26" t="s">
        <v>137</v>
      </c>
      <c r="I16" s="26"/>
      <c r="J16" s="166">
        <v>3.5256020425100631</v>
      </c>
      <c r="K16" s="166">
        <v>0.17129999999999992</v>
      </c>
      <c r="L16" s="166">
        <v>3.6969020425100632</v>
      </c>
      <c r="M16" s="166">
        <v>3.5256020425100631</v>
      </c>
      <c r="N16" s="166">
        <v>1.0058187458141103</v>
      </c>
      <c r="O16" s="166">
        <v>4.5314207883241737</v>
      </c>
      <c r="P16" s="166">
        <v>4.1031245348268781</v>
      </c>
      <c r="Q16" s="166">
        <v>0.46818750000000003</v>
      </c>
      <c r="R16" s="166">
        <v>4.5713120348268781</v>
      </c>
      <c r="S16" s="26"/>
      <c r="T16" s="167">
        <f t="shared" si="5"/>
        <v>3.7181095399490012</v>
      </c>
      <c r="U16" s="167">
        <f t="shared" si="6"/>
        <v>4.2665449552203718</v>
      </c>
    </row>
    <row r="17" spans="1:42">
      <c r="A17" s="156"/>
      <c r="B17" s="161">
        <v>1984</v>
      </c>
      <c r="C17" s="160">
        <v>47.904091651957408</v>
      </c>
      <c r="D17" s="77"/>
      <c r="E17" s="26">
        <f t="shared" si="3"/>
        <v>2018</v>
      </c>
      <c r="F17" s="26">
        <f t="shared" si="4"/>
        <v>3</v>
      </c>
      <c r="G17" s="165">
        <v>43160</v>
      </c>
      <c r="H17" s="26" t="s">
        <v>138</v>
      </c>
      <c r="I17" s="26"/>
      <c r="J17" s="166">
        <v>3.1045389233688345</v>
      </c>
      <c r="K17" s="166">
        <v>0.17129999999999992</v>
      </c>
      <c r="L17" s="166">
        <v>3.2758389233688345</v>
      </c>
      <c r="M17" s="166">
        <v>3.1045389233688345</v>
      </c>
      <c r="N17" s="166">
        <v>1.0058187458141103</v>
      </c>
      <c r="O17" s="166">
        <v>4.1103576691829451</v>
      </c>
      <c r="P17" s="166">
        <v>3.669431715642455</v>
      </c>
      <c r="Q17" s="166">
        <v>0.46818750000000003</v>
      </c>
      <c r="R17" s="166">
        <v>4.1376192156424549</v>
      </c>
      <c r="S17" s="26"/>
      <c r="T17" s="167">
        <f t="shared" si="5"/>
        <v>3.2928365207933745</v>
      </c>
      <c r="U17" s="167">
        <f t="shared" si="6"/>
        <v>3.8412719360647452</v>
      </c>
      <c r="V17" s="154"/>
      <c r="W17" s="154">
        <v>2017</v>
      </c>
      <c r="X17" s="154">
        <v>2018</v>
      </c>
      <c r="Y17" s="154">
        <v>2019</v>
      </c>
      <c r="Z17" s="154">
        <v>2020</v>
      </c>
      <c r="AA17" s="154">
        <v>2021</v>
      </c>
      <c r="AB17" s="154">
        <v>2022</v>
      </c>
      <c r="AC17" s="154">
        <v>2023</v>
      </c>
      <c r="AD17" s="154">
        <v>2024</v>
      </c>
      <c r="AE17" s="154">
        <v>2025</v>
      </c>
      <c r="AF17" s="154">
        <v>2026</v>
      </c>
      <c r="AG17" s="154">
        <v>2027</v>
      </c>
      <c r="AH17" s="154">
        <v>2028</v>
      </c>
      <c r="AI17" s="154">
        <v>2029</v>
      </c>
      <c r="AJ17" s="154">
        <v>2030</v>
      </c>
      <c r="AK17" s="154">
        <v>2031</v>
      </c>
      <c r="AL17" s="154">
        <v>2032</v>
      </c>
      <c r="AM17" s="154">
        <v>2033</v>
      </c>
      <c r="AN17" s="154">
        <v>2034</v>
      </c>
      <c r="AO17" s="154">
        <v>2035</v>
      </c>
      <c r="AP17" s="154">
        <v>2036</v>
      </c>
    </row>
    <row r="18" spans="1:42">
      <c r="A18" s="156"/>
      <c r="B18" s="161">
        <v>1985</v>
      </c>
      <c r="C18" s="160">
        <v>49.420913793295433</v>
      </c>
      <c r="D18" s="77"/>
      <c r="E18" s="26">
        <f t="shared" si="3"/>
        <v>2018</v>
      </c>
      <c r="F18" s="26">
        <f t="shared" si="4"/>
        <v>4</v>
      </c>
      <c r="G18" s="165">
        <v>43191</v>
      </c>
      <c r="H18" s="26" t="s">
        <v>139</v>
      </c>
      <c r="I18" s="26"/>
      <c r="J18" s="166">
        <v>3.0558207900941632</v>
      </c>
      <c r="K18" s="166">
        <v>0.17129999999999992</v>
      </c>
      <c r="L18" s="166">
        <v>3.2271207900941632</v>
      </c>
      <c r="M18" s="166">
        <v>3.0558207900941632</v>
      </c>
      <c r="N18" s="166">
        <v>1.0058187458141103</v>
      </c>
      <c r="O18" s="166">
        <v>4.0616395359082738</v>
      </c>
      <c r="P18" s="166">
        <v>3.6688902187309016</v>
      </c>
      <c r="Q18" s="166">
        <v>0.46818750000000003</v>
      </c>
      <c r="R18" s="166">
        <v>4.137077718730902</v>
      </c>
      <c r="S18" s="26"/>
      <c r="T18" s="167">
        <f t="shared" si="5"/>
        <v>3.260177266306409</v>
      </c>
      <c r="U18" s="167">
        <f t="shared" si="6"/>
        <v>3.8086126815777797</v>
      </c>
      <c r="V18" s="154">
        <v>1</v>
      </c>
      <c r="W18" s="163">
        <f t="shared" ref="W18:AF29" ca="1" si="7">OFFSET($U$1,W$1+$V18-2,0)</f>
        <v>4.6108813468289949</v>
      </c>
      <c r="X18" s="163">
        <f t="shared" ca="1" si="7"/>
        <v>4.2221557489077961</v>
      </c>
      <c r="Y18" s="163">
        <f t="shared" ca="1" si="7"/>
        <v>4.2630230963406506</v>
      </c>
      <c r="Z18" s="163">
        <f t="shared" ca="1" si="7"/>
        <v>4.4589356579378139</v>
      </c>
      <c r="AA18" s="163">
        <f t="shared" ca="1" si="7"/>
        <v>4.4879732443950182</v>
      </c>
      <c r="AB18" s="163">
        <f t="shared" ca="1" si="7"/>
        <v>4.4880227499375449</v>
      </c>
      <c r="AC18" s="163">
        <f t="shared" ca="1" si="7"/>
        <v>4.5174487725070147</v>
      </c>
      <c r="AD18" s="163">
        <f t="shared" ca="1" si="7"/>
        <v>4.5248840730249249</v>
      </c>
      <c r="AE18" s="163">
        <f t="shared" ca="1" si="7"/>
        <v>4.5250875540570297</v>
      </c>
      <c r="AF18" s="163">
        <f t="shared" ca="1" si="7"/>
        <v>4.5425130714572193</v>
      </c>
      <c r="AG18" s="163">
        <f t="shared" ref="AG18:AP29" ca="1" si="8">OFFSET($U$1,AG$1+$V18-2,0)</f>
        <v>4.5624918861658932</v>
      </c>
      <c r="AH18" s="163">
        <f t="shared" ca="1" si="8"/>
        <v>4.5870002877590901</v>
      </c>
      <c r="AI18" s="163">
        <f t="shared" ca="1" si="8"/>
        <v>4.6180635186919119</v>
      </c>
      <c r="AJ18" s="163">
        <f t="shared" ca="1" si="8"/>
        <v>4.6514896612396761</v>
      </c>
      <c r="AK18" s="163">
        <f t="shared" ca="1" si="8"/>
        <v>4.6616092304433732</v>
      </c>
      <c r="AL18" s="163">
        <f t="shared" ca="1" si="8"/>
        <v>4.6755171458983291</v>
      </c>
      <c r="AM18" s="163">
        <f t="shared" ca="1" si="8"/>
        <v>4.6911819591807165</v>
      </c>
      <c r="AN18" s="163">
        <f t="shared" ca="1" si="8"/>
        <v>4.709897231814586</v>
      </c>
      <c r="AO18" s="163">
        <f t="shared" ca="1" si="8"/>
        <v>4.7301172674303658</v>
      </c>
      <c r="AP18" s="163">
        <f t="shared" ca="1" si="8"/>
        <v>4.7535789636239363</v>
      </c>
    </row>
    <row r="19" spans="1:42">
      <c r="A19" s="156"/>
      <c r="B19" s="161">
        <v>1986</v>
      </c>
      <c r="C19" s="160">
        <v>50.418543044636742</v>
      </c>
      <c r="D19" s="77"/>
      <c r="E19" s="26">
        <f t="shared" si="3"/>
        <v>2018</v>
      </c>
      <c r="F19" s="26">
        <f t="shared" si="4"/>
        <v>5</v>
      </c>
      <c r="G19" s="165">
        <v>43221</v>
      </c>
      <c r="H19" s="26" t="s">
        <v>140</v>
      </c>
      <c r="I19" s="26"/>
      <c r="J19" s="166">
        <v>3.1682301533842296</v>
      </c>
      <c r="K19" s="166">
        <v>0.17129999999999992</v>
      </c>
      <c r="L19" s="166">
        <v>3.3395301533842296</v>
      </c>
      <c r="M19" s="166">
        <v>3.1682301533842296</v>
      </c>
      <c r="N19" s="166">
        <v>1.0058187458141103</v>
      </c>
      <c r="O19" s="166">
        <v>4.1740488991983398</v>
      </c>
      <c r="P19" s="166">
        <v>3.8647019339645645</v>
      </c>
      <c r="Q19" s="166">
        <v>0.46818750000000003</v>
      </c>
      <c r="R19" s="166">
        <v>4.3328894339645645</v>
      </c>
      <c r="S19" s="26"/>
      <c r="T19" s="167">
        <f t="shared" si="5"/>
        <v>3.4003874135776742</v>
      </c>
      <c r="U19" s="167">
        <f t="shared" si="6"/>
        <v>3.9488228288490448</v>
      </c>
      <c r="V19" s="154">
        <v>2</v>
      </c>
      <c r="W19" s="163">
        <f t="shared" ca="1" si="7"/>
        <v>4.6937076166897498</v>
      </c>
      <c r="X19" s="163">
        <f t="shared" ca="1" si="7"/>
        <v>4.2665449552203718</v>
      </c>
      <c r="Y19" s="163">
        <f t="shared" ca="1" si="7"/>
        <v>4.339617824061718</v>
      </c>
      <c r="Z19" s="163">
        <f t="shared" ca="1" si="7"/>
        <v>4.5541076762727615</v>
      </c>
      <c r="AA19" s="163">
        <f t="shared" ca="1" si="7"/>
        <v>4.5717608046761891</v>
      </c>
      <c r="AB19" s="163">
        <f t="shared" ca="1" si="7"/>
        <v>4.5686147362972527</v>
      </c>
      <c r="AC19" s="163">
        <f t="shared" ca="1" si="7"/>
        <v>4.6007006178448</v>
      </c>
      <c r="AD19" s="163">
        <f t="shared" ca="1" si="7"/>
        <v>4.6067198834877354</v>
      </c>
      <c r="AE19" s="163">
        <f t="shared" ca="1" si="7"/>
        <v>4.6062392907123284</v>
      </c>
      <c r="AF19" s="163">
        <f t="shared" ca="1" si="7"/>
        <v>4.6253189260339651</v>
      </c>
      <c r="AG19" s="163">
        <f t="shared" ca="1" si="8"/>
        <v>4.6460053971280404</v>
      </c>
      <c r="AH19" s="163">
        <f t="shared" ca="1" si="8"/>
        <v>4.6713921181789049</v>
      </c>
      <c r="AI19" s="163">
        <f t="shared" ca="1" si="8"/>
        <v>4.7036322984146253</v>
      </c>
      <c r="AJ19" s="163">
        <f t="shared" ca="1" si="8"/>
        <v>4.7379672278425389</v>
      </c>
      <c r="AK19" s="163">
        <f t="shared" ca="1" si="8"/>
        <v>4.7464812354072521</v>
      </c>
      <c r="AL19" s="163">
        <f t="shared" ca="1" si="8"/>
        <v>4.7608306863528647</v>
      </c>
      <c r="AM19" s="163">
        <f t="shared" ca="1" si="8"/>
        <v>4.7769649316383171</v>
      </c>
      <c r="AN19" s="163">
        <f t="shared" ca="1" si="8"/>
        <v>4.7963127538376238</v>
      </c>
      <c r="AO19" s="163">
        <f t="shared" ca="1" si="8"/>
        <v>4.8170824580422131</v>
      </c>
      <c r="AP19" s="163">
        <f t="shared" ca="1" si="8"/>
        <v>4.8412875108069979</v>
      </c>
    </row>
    <row r="20" spans="1:42">
      <c r="A20" s="156"/>
      <c r="B20" s="161">
        <v>1987</v>
      </c>
      <c r="C20" s="160">
        <v>51.661390743368543</v>
      </c>
      <c r="D20" s="77"/>
      <c r="E20" s="26">
        <f t="shared" si="3"/>
        <v>2018</v>
      </c>
      <c r="F20" s="26">
        <f t="shared" si="4"/>
        <v>6</v>
      </c>
      <c r="G20" s="165">
        <v>43252</v>
      </c>
      <c r="H20" s="26" t="s">
        <v>141</v>
      </c>
      <c r="I20" s="26"/>
      <c r="J20" s="166">
        <v>3.3128003053223467</v>
      </c>
      <c r="K20" s="166">
        <v>0.17129999999999992</v>
      </c>
      <c r="L20" s="166">
        <v>3.4841003053223467</v>
      </c>
      <c r="M20" s="166">
        <v>3.3128003053223467</v>
      </c>
      <c r="N20" s="166">
        <v>1.0058187458141103</v>
      </c>
      <c r="O20" s="166">
        <v>4.3186190511364568</v>
      </c>
      <c r="P20" s="166">
        <v>3.6783856741524801</v>
      </c>
      <c r="Q20" s="166">
        <v>0.46818750000000003</v>
      </c>
      <c r="R20" s="166">
        <v>4.1465731741524801</v>
      </c>
      <c r="S20" s="26"/>
      <c r="T20" s="167">
        <f t="shared" si="5"/>
        <v>3.4346620949323907</v>
      </c>
      <c r="U20" s="167">
        <f t="shared" si="6"/>
        <v>3.9830975102037613</v>
      </c>
      <c r="V20" s="154">
        <v>3</v>
      </c>
      <c r="W20" s="163">
        <f t="shared" ca="1" si="7"/>
        <v>4.2499516827361745</v>
      </c>
      <c r="X20" s="163">
        <f t="shared" ca="1" si="7"/>
        <v>3.8412719360647452</v>
      </c>
      <c r="Y20" s="163">
        <f t="shared" ca="1" si="7"/>
        <v>3.9345361409991266</v>
      </c>
      <c r="Z20" s="163">
        <f t="shared" ca="1" si="7"/>
        <v>4.1390864675036498</v>
      </c>
      <c r="AA20" s="163">
        <f t="shared" ca="1" si="7"/>
        <v>4.1441554205536528</v>
      </c>
      <c r="AB20" s="163">
        <f t="shared" ca="1" si="7"/>
        <v>4.1384917567318515</v>
      </c>
      <c r="AC20" s="163">
        <f t="shared" ca="1" si="7"/>
        <v>4.1689822066267892</v>
      </c>
      <c r="AD20" s="163">
        <f t="shared" ca="1" si="7"/>
        <v>4.1729572917259334</v>
      </c>
      <c r="AE20" s="163">
        <f t="shared" ca="1" si="7"/>
        <v>4.1719135994652614</v>
      </c>
      <c r="AF20" s="163">
        <f t="shared" ca="1" si="7"/>
        <v>4.1901105381426413</v>
      </c>
      <c r="AG20" s="163">
        <f t="shared" ca="1" si="8"/>
        <v>4.2088506727338855</v>
      </c>
      <c r="AH20" s="163">
        <f t="shared" ca="1" si="8"/>
        <v>4.2318578195243228</v>
      </c>
      <c r="AI20" s="163">
        <f t="shared" ca="1" si="8"/>
        <v>4.2611320811889213</v>
      </c>
      <c r="AJ20" s="163">
        <f t="shared" ca="1" si="8"/>
        <v>4.2919943730728685</v>
      </c>
      <c r="AK20" s="163">
        <f t="shared" ca="1" si="8"/>
        <v>4.2979790285590953</v>
      </c>
      <c r="AL20" s="163">
        <f t="shared" ca="1" si="8"/>
        <v>4.3109334204986007</v>
      </c>
      <c r="AM20" s="163">
        <f t="shared" ca="1" si="8"/>
        <v>4.3254744672119232</v>
      </c>
      <c r="AN20" s="163">
        <f t="shared" ca="1" si="8"/>
        <v>4.3429751938416503</v>
      </c>
      <c r="AO20" s="163">
        <f t="shared" ca="1" si="8"/>
        <v>4.3616441847251259</v>
      </c>
      <c r="AP20" s="163">
        <f t="shared" ca="1" si="8"/>
        <v>4.3834947031464653</v>
      </c>
    </row>
    <row r="21" spans="1:42">
      <c r="A21" s="156"/>
      <c r="B21" s="161">
        <v>1988</v>
      </c>
      <c r="C21" s="160">
        <v>53.482528298642734</v>
      </c>
      <c r="D21" s="77"/>
      <c r="E21" s="26">
        <f t="shared" si="3"/>
        <v>2018</v>
      </c>
      <c r="F21" s="26">
        <f t="shared" si="4"/>
        <v>7</v>
      </c>
      <c r="G21" s="165">
        <v>43282</v>
      </c>
      <c r="H21" s="26" t="s">
        <v>142</v>
      </c>
      <c r="I21" s="26"/>
      <c r="J21" s="166">
        <v>3.3491274445492278</v>
      </c>
      <c r="K21" s="166">
        <v>0.17129999999999992</v>
      </c>
      <c r="L21" s="166">
        <v>3.5204274445492278</v>
      </c>
      <c r="M21" s="166">
        <v>3.3491274445492278</v>
      </c>
      <c r="N21" s="166">
        <v>1.0058187458141103</v>
      </c>
      <c r="O21" s="166">
        <v>4.3549461903633384</v>
      </c>
      <c r="P21" s="166">
        <v>3.7084145927136984</v>
      </c>
      <c r="Q21" s="166">
        <v>0.46818750000000003</v>
      </c>
      <c r="R21" s="166">
        <v>4.1766020927136989</v>
      </c>
      <c r="S21" s="26"/>
      <c r="T21" s="167">
        <f t="shared" si="5"/>
        <v>3.468889827270718</v>
      </c>
      <c r="U21" s="167">
        <f t="shared" si="6"/>
        <v>4.0173252425420882</v>
      </c>
      <c r="V21" s="154">
        <v>4</v>
      </c>
      <c r="W21" s="163">
        <f t="shared" ca="1" si="7"/>
        <v>4.2438150359606759</v>
      </c>
      <c r="X21" s="163">
        <f t="shared" ca="1" si="7"/>
        <v>3.8086126815777797</v>
      </c>
      <c r="Y21" s="163">
        <f t="shared" ca="1" si="7"/>
        <v>3.9296896895947064</v>
      </c>
      <c r="Z21" s="163">
        <f t="shared" ca="1" si="7"/>
        <v>4.1469011570300474</v>
      </c>
      <c r="AA21" s="163">
        <f t="shared" ca="1" si="7"/>
        <v>4.1412850477388607</v>
      </c>
      <c r="AB21" s="163">
        <f t="shared" ca="1" si="7"/>
        <v>4.1327811202556122</v>
      </c>
      <c r="AC21" s="163">
        <f t="shared" ca="1" si="7"/>
        <v>4.1650573684901069</v>
      </c>
      <c r="AD21" s="163">
        <f t="shared" ca="1" si="7"/>
        <v>4.16762837255345</v>
      </c>
      <c r="AE21" s="163">
        <f t="shared" ca="1" si="7"/>
        <v>4.1659728819761668</v>
      </c>
      <c r="AF21" s="163">
        <f t="shared" ca="1" si="7"/>
        <v>4.1852975288606915</v>
      </c>
      <c r="AG21" s="163">
        <f t="shared" ca="1" si="8"/>
        <v>4.2042743229852961</v>
      </c>
      <c r="AH21" s="163">
        <f t="shared" ca="1" si="8"/>
        <v>4.2275808683612635</v>
      </c>
      <c r="AI21" s="163">
        <f t="shared" ca="1" si="8"/>
        <v>4.2572912202870592</v>
      </c>
      <c r="AJ21" s="163">
        <f t="shared" ca="1" si="8"/>
        <v>4.2883049642092255</v>
      </c>
      <c r="AK21" s="163">
        <f t="shared" ca="1" si="8"/>
        <v>4.292664461962147</v>
      </c>
      <c r="AL21" s="163">
        <f t="shared" ca="1" si="8"/>
        <v>4.3057382087362415</v>
      </c>
      <c r="AM21" s="163">
        <f t="shared" ca="1" si="8"/>
        <v>4.320388916165748</v>
      </c>
      <c r="AN21" s="163">
        <f t="shared" ca="1" si="8"/>
        <v>4.3380843672629252</v>
      </c>
      <c r="AO21" s="163">
        <f t="shared" ca="1" si="8"/>
        <v>4.3568449101698015</v>
      </c>
      <c r="AP21" s="163">
        <f t="shared" ca="1" si="8"/>
        <v>4.3788954539580862</v>
      </c>
    </row>
    <row r="22" spans="1:42">
      <c r="A22" s="156"/>
      <c r="B22" s="161">
        <v>1989</v>
      </c>
      <c r="C22" s="160">
        <v>55.582848075184238</v>
      </c>
      <c r="D22" s="77"/>
      <c r="E22" s="26">
        <f t="shared" si="3"/>
        <v>2018</v>
      </c>
      <c r="F22" s="26">
        <f t="shared" si="4"/>
        <v>8</v>
      </c>
      <c r="G22" s="165">
        <v>43313</v>
      </c>
      <c r="H22" s="26" t="s">
        <v>143</v>
      </c>
      <c r="I22" s="26"/>
      <c r="J22" s="166">
        <v>3.3780806866641759</v>
      </c>
      <c r="K22" s="166">
        <v>0.17129999999999992</v>
      </c>
      <c r="L22" s="166">
        <v>3.5493806866641759</v>
      </c>
      <c r="M22" s="166">
        <v>3.3780806866641759</v>
      </c>
      <c r="N22" s="166">
        <v>1.0058187458141103</v>
      </c>
      <c r="O22" s="166">
        <v>4.3838994324782865</v>
      </c>
      <c r="P22" s="166">
        <v>3.7301029202477656</v>
      </c>
      <c r="Q22" s="166">
        <v>0.46818750000000003</v>
      </c>
      <c r="R22" s="166">
        <v>4.1982904202477656</v>
      </c>
      <c r="S22" s="26"/>
      <c r="T22" s="167">
        <f t="shared" si="5"/>
        <v>3.4954214311920389</v>
      </c>
      <c r="U22" s="167">
        <f t="shared" si="6"/>
        <v>4.0438568464634095</v>
      </c>
      <c r="V22" s="154">
        <v>5</v>
      </c>
      <c r="W22" s="163">
        <f t="shared" ca="1" si="7"/>
        <v>4.4351694957952725</v>
      </c>
      <c r="X22" s="163">
        <f t="shared" ca="1" si="7"/>
        <v>3.9488228288490448</v>
      </c>
      <c r="Y22" s="163">
        <f t="shared" ca="1" si="7"/>
        <v>4.1055850915709637</v>
      </c>
      <c r="Z22" s="163">
        <f t="shared" ca="1" si="7"/>
        <v>4.3477176616640323</v>
      </c>
      <c r="AA22" s="163">
        <f t="shared" ca="1" si="7"/>
        <v>4.3305812202291518</v>
      </c>
      <c r="AB22" s="163">
        <f t="shared" ca="1" si="7"/>
        <v>4.318639727364963</v>
      </c>
      <c r="AC22" s="163">
        <f t="shared" ca="1" si="7"/>
        <v>4.3545187445800053</v>
      </c>
      <c r="AD22" s="163">
        <f t="shared" ca="1" si="7"/>
        <v>4.3557530247574929</v>
      </c>
      <c r="AE22" s="163">
        <f t="shared" ca="1" si="7"/>
        <v>4.3533665110093782</v>
      </c>
      <c r="AF22" s="163">
        <f t="shared" ca="1" si="7"/>
        <v>4.3749096620822074</v>
      </c>
      <c r="AG22" s="163">
        <f t="shared" ca="1" si="8"/>
        <v>4.395150706005218</v>
      </c>
      <c r="AH22" s="163">
        <f t="shared" ca="1" si="8"/>
        <v>4.4200191330186938</v>
      </c>
      <c r="AI22" s="163">
        <f t="shared" ca="1" si="8"/>
        <v>4.4517776669952767</v>
      </c>
      <c r="AJ22" s="163">
        <f t="shared" ca="1" si="8"/>
        <v>4.4846104770223825</v>
      </c>
      <c r="AK22" s="163">
        <f t="shared" ca="1" si="8"/>
        <v>4.4874968424430799</v>
      </c>
      <c r="AL22" s="163">
        <f t="shared" ca="1" si="8"/>
        <v>4.5013956992117627</v>
      </c>
      <c r="AM22" s="163">
        <f t="shared" ca="1" si="8"/>
        <v>4.516945745530478</v>
      </c>
      <c r="AN22" s="163">
        <f t="shared" ca="1" si="8"/>
        <v>4.5357928280792263</v>
      </c>
      <c r="AO22" s="163">
        <f t="shared" ca="1" si="8"/>
        <v>4.5556536773115273</v>
      </c>
      <c r="AP22" s="163">
        <f t="shared" ca="1" si="8"/>
        <v>4.579094528547702</v>
      </c>
    </row>
    <row r="23" spans="1:42">
      <c r="A23" s="156"/>
      <c r="B23" s="161">
        <v>1990</v>
      </c>
      <c r="C23" s="160">
        <v>57.667997366060767</v>
      </c>
      <c r="D23" s="77"/>
      <c r="E23" s="26">
        <f t="shared" si="3"/>
        <v>2018</v>
      </c>
      <c r="F23" s="26">
        <f t="shared" si="4"/>
        <v>9</v>
      </c>
      <c r="G23" s="165">
        <v>43344</v>
      </c>
      <c r="H23" s="26" t="s">
        <v>144</v>
      </c>
      <c r="I23" s="26"/>
      <c r="J23" s="166">
        <v>3.0808954689114421</v>
      </c>
      <c r="K23" s="166">
        <v>0.17129999999999992</v>
      </c>
      <c r="L23" s="166">
        <v>3.2521954689114421</v>
      </c>
      <c r="M23" s="166">
        <v>3.0808954689114421</v>
      </c>
      <c r="N23" s="166">
        <v>1.0058187458141103</v>
      </c>
      <c r="O23" s="166">
        <v>4.0867142147255526</v>
      </c>
      <c r="P23" s="166">
        <v>3.3925130792532738</v>
      </c>
      <c r="Q23" s="166">
        <v>0.46818750000000003</v>
      </c>
      <c r="R23" s="166">
        <v>3.8607005792532738</v>
      </c>
      <c r="S23" s="26"/>
      <c r="T23" s="167">
        <f t="shared" si="5"/>
        <v>3.1847680056920527</v>
      </c>
      <c r="U23" s="167">
        <f t="shared" si="6"/>
        <v>3.7332034209634233</v>
      </c>
      <c r="V23" s="154">
        <v>6</v>
      </c>
      <c r="W23" s="163">
        <f t="shared" ca="1" si="7"/>
        <v>4.1445662274109134</v>
      </c>
      <c r="X23" s="163">
        <f t="shared" ca="1" si="7"/>
        <v>3.9830975102037613</v>
      </c>
      <c r="Y23" s="163">
        <f t="shared" ca="1" si="7"/>
        <v>4.0718853475650878</v>
      </c>
      <c r="Z23" s="163">
        <f t="shared" ca="1" si="7"/>
        <v>4.1748672108854015</v>
      </c>
      <c r="AA23" s="163">
        <f t="shared" ca="1" si="7"/>
        <v>4.1952217937347696</v>
      </c>
      <c r="AB23" s="163">
        <f t="shared" ca="1" si="7"/>
        <v>4.2093864639219136</v>
      </c>
      <c r="AC23" s="163">
        <f t="shared" ca="1" si="7"/>
        <v>4.2262319494629024</v>
      </c>
      <c r="AD23" s="163">
        <f t="shared" ca="1" si="7"/>
        <v>4.2307928543620799</v>
      </c>
      <c r="AE23" s="163">
        <f t="shared" ca="1" si="7"/>
        <v>4.238678980441235</v>
      </c>
      <c r="AF23" s="163">
        <f t="shared" ca="1" si="7"/>
        <v>4.2552736032299228</v>
      </c>
      <c r="AG23" s="163">
        <f t="shared" ca="1" si="8"/>
        <v>4.2755655975686713</v>
      </c>
      <c r="AH23" s="163">
        <f t="shared" ca="1" si="8"/>
        <v>4.3008798953737388</v>
      </c>
      <c r="AI23" s="163">
        <f t="shared" ca="1" si="8"/>
        <v>4.3303922971800786</v>
      </c>
      <c r="AJ23" s="163">
        <f t="shared" ca="1" si="8"/>
        <v>4.3512755328919361</v>
      </c>
      <c r="AK23" s="163">
        <f t="shared" ca="1" si="8"/>
        <v>4.3631521730135843</v>
      </c>
      <c r="AL23" s="163">
        <f t="shared" ca="1" si="8"/>
        <v>4.3767062409095532</v>
      </c>
      <c r="AM23" s="163">
        <f t="shared" ca="1" si="8"/>
        <v>4.3924441843247388</v>
      </c>
      <c r="AN23" s="163">
        <f t="shared" ca="1" si="8"/>
        <v>4.4102971890011746</v>
      </c>
      <c r="AO23" s="163">
        <f t="shared" ca="1" si="8"/>
        <v>4.4303416880242237</v>
      </c>
      <c r="AP23" s="163">
        <f t="shared" ca="1" si="8"/>
        <v>2.4947604687351412</v>
      </c>
    </row>
    <row r="24" spans="1:42">
      <c r="A24" s="156"/>
      <c r="B24" s="161">
        <v>1991</v>
      </c>
      <c r="C24" s="160">
        <v>59.614800884679141</v>
      </c>
      <c r="D24" s="77"/>
      <c r="E24" s="26">
        <f t="shared" si="3"/>
        <v>2018</v>
      </c>
      <c r="F24" s="26">
        <f t="shared" si="4"/>
        <v>10</v>
      </c>
      <c r="G24" s="165">
        <v>43374</v>
      </c>
      <c r="H24" s="26" t="s">
        <v>145</v>
      </c>
      <c r="I24" s="26"/>
      <c r="J24" s="166">
        <v>3.113650108346615</v>
      </c>
      <c r="K24" s="166">
        <v>0.17129999999999992</v>
      </c>
      <c r="L24" s="166">
        <v>3.284950108346615</v>
      </c>
      <c r="M24" s="166">
        <v>3.113650108346615</v>
      </c>
      <c r="N24" s="166">
        <v>1.0058187458141103</v>
      </c>
      <c r="O24" s="166">
        <v>4.1194688541607256</v>
      </c>
      <c r="P24" s="166">
        <v>3.4190678786755799</v>
      </c>
      <c r="Q24" s="166">
        <v>0.46818750000000003</v>
      </c>
      <c r="R24" s="166">
        <v>3.8872553786755799</v>
      </c>
      <c r="S24" s="26"/>
      <c r="T24" s="167">
        <f t="shared" si="5"/>
        <v>3.2154560317896035</v>
      </c>
      <c r="U24" s="167">
        <f t="shared" si="6"/>
        <v>3.7638914470609737</v>
      </c>
      <c r="V24" s="154">
        <v>7</v>
      </c>
      <c r="W24" s="163">
        <f t="shared" ca="1" si="7"/>
        <v>4.151614973856752</v>
      </c>
      <c r="X24" s="163">
        <f t="shared" ca="1" si="7"/>
        <v>4.0173252425420882</v>
      </c>
      <c r="Y24" s="163">
        <f t="shared" ca="1" si="7"/>
        <v>4.1203419899123501</v>
      </c>
      <c r="Z24" s="163">
        <f t="shared" ca="1" si="7"/>
        <v>4.213350664689842</v>
      </c>
      <c r="AA24" s="163">
        <f t="shared" ca="1" si="7"/>
        <v>4.2309739207078003</v>
      </c>
      <c r="AB24" s="163">
        <f t="shared" ca="1" si="7"/>
        <v>4.2471642920140704</v>
      </c>
      <c r="AC24" s="163">
        <f t="shared" ca="1" si="7"/>
        <v>4.2627371355950059</v>
      </c>
      <c r="AD24" s="163">
        <f t="shared" ca="1" si="7"/>
        <v>4.2667117260489853</v>
      </c>
      <c r="AE24" s="163">
        <f t="shared" ca="1" si="7"/>
        <v>4.2758649466731766</v>
      </c>
      <c r="AF24" s="163">
        <f t="shared" ca="1" si="7"/>
        <v>4.2928963597133762</v>
      </c>
      <c r="AG24" s="163">
        <f t="shared" ca="1" si="8"/>
        <v>4.3137329101484028</v>
      </c>
      <c r="AH24" s="163">
        <f t="shared" ca="1" si="8"/>
        <v>4.3397918624978571</v>
      </c>
      <c r="AI24" s="163">
        <f t="shared" ca="1" si="8"/>
        <v>4.3697998838992698</v>
      </c>
      <c r="AJ24" s="163">
        <f t="shared" ca="1" si="8"/>
        <v>4.3892259423448641</v>
      </c>
      <c r="AK24" s="163">
        <f t="shared" ca="1" si="8"/>
        <v>4.4013629876232052</v>
      </c>
      <c r="AL24" s="163">
        <f t="shared" ca="1" si="8"/>
        <v>4.4151865301164515</v>
      </c>
      <c r="AM24" s="163">
        <f t="shared" ca="1" si="8"/>
        <v>4.4313077010437256</v>
      </c>
      <c r="AN24" s="163">
        <f t="shared" ca="1" si="8"/>
        <v>4.4494604529228354</v>
      </c>
      <c r="AO24" s="163">
        <f t="shared" ca="1" si="8"/>
        <v>4.4699429698104067</v>
      </c>
      <c r="AP24" s="163">
        <f t="shared" ca="1" si="8"/>
        <v>2.1861637134452008</v>
      </c>
    </row>
    <row r="25" spans="1:42">
      <c r="A25" s="156"/>
      <c r="B25" s="161">
        <v>1992</v>
      </c>
      <c r="C25" s="160">
        <v>60.971540438477838</v>
      </c>
      <c r="D25" s="77"/>
      <c r="E25" s="26">
        <f t="shared" si="3"/>
        <v>2018</v>
      </c>
      <c r="F25" s="26">
        <f t="shared" si="4"/>
        <v>11</v>
      </c>
      <c r="G25" s="165">
        <v>43405</v>
      </c>
      <c r="H25" s="26" t="s">
        <v>146</v>
      </c>
      <c r="I25" s="26"/>
      <c r="J25" s="166">
        <v>3.0587332368854967</v>
      </c>
      <c r="K25" s="166">
        <v>0.17129999999999992</v>
      </c>
      <c r="L25" s="166">
        <v>3.2300332368854967</v>
      </c>
      <c r="M25" s="166">
        <v>3.0587332368854967</v>
      </c>
      <c r="N25" s="166">
        <v>1.0058187458141103</v>
      </c>
      <c r="O25" s="166">
        <v>4.0645519826996068</v>
      </c>
      <c r="P25" s="166">
        <v>3.3494418118876061</v>
      </c>
      <c r="Q25" s="166">
        <v>0.46818750000000003</v>
      </c>
      <c r="R25" s="166">
        <v>3.8176293118876061</v>
      </c>
      <c r="S25" s="26"/>
      <c r="T25" s="167">
        <f t="shared" si="5"/>
        <v>3.155636095219533</v>
      </c>
      <c r="U25" s="167">
        <f t="shared" si="6"/>
        <v>3.7040715104909032</v>
      </c>
      <c r="V25" s="154">
        <v>8</v>
      </c>
      <c r="W25" s="163">
        <f t="shared" ca="1" si="7"/>
        <v>4.1501786062081045</v>
      </c>
      <c r="X25" s="163">
        <f t="shared" ca="1" si="7"/>
        <v>4.0438568464634095</v>
      </c>
      <c r="Y25" s="163">
        <f t="shared" ca="1" si="7"/>
        <v>4.1611015645531788</v>
      </c>
      <c r="Z25" s="163">
        <f t="shared" ca="1" si="7"/>
        <v>4.243743079021014</v>
      </c>
      <c r="AA25" s="163">
        <f t="shared" ca="1" si="7"/>
        <v>4.2585458598538581</v>
      </c>
      <c r="AB25" s="163">
        <f t="shared" ca="1" si="7"/>
        <v>4.2767581574388371</v>
      </c>
      <c r="AC25" s="163">
        <f t="shared" ca="1" si="7"/>
        <v>4.2909992375731676</v>
      </c>
      <c r="AD25" s="163">
        <f t="shared" ca="1" si="7"/>
        <v>4.2943679192484732</v>
      </c>
      <c r="AE25" s="163">
        <f t="shared" ca="1" si="7"/>
        <v>4.3047881997250235</v>
      </c>
      <c r="AF25" s="163">
        <f t="shared" ca="1" si="7"/>
        <v>4.3222232465615908</v>
      </c>
      <c r="AG25" s="163">
        <f t="shared" ca="1" si="8"/>
        <v>4.3435639642151989</v>
      </c>
      <c r="AH25" s="163">
        <f t="shared" ca="1" si="8"/>
        <v>4.3703181551794499</v>
      </c>
      <c r="AI25" s="163">
        <f t="shared" ca="1" si="8"/>
        <v>4.4007586573011217</v>
      </c>
      <c r="AJ25" s="163">
        <f t="shared" ca="1" si="8"/>
        <v>4.4186560341628924</v>
      </c>
      <c r="AK25" s="163">
        <f t="shared" ca="1" si="8"/>
        <v>4.43102898017111</v>
      </c>
      <c r="AL25" s="163">
        <f t="shared" ca="1" si="8"/>
        <v>4.4450936207143155</v>
      </c>
      <c r="AM25" s="163">
        <f t="shared" ca="1" si="8"/>
        <v>4.4615661141570326</v>
      </c>
      <c r="AN25" s="163">
        <f t="shared" ca="1" si="8"/>
        <v>4.4799804174697355</v>
      </c>
      <c r="AO25" s="163">
        <f t="shared" ca="1" si="8"/>
        <v>4.5008595736175998</v>
      </c>
      <c r="AP25" s="163">
        <f t="shared" ca="1" si="8"/>
        <v>1.8683387840174452</v>
      </c>
    </row>
    <row r="26" spans="1:42">
      <c r="A26" s="156"/>
      <c r="B26" s="161">
        <v>1993</v>
      </c>
      <c r="C26" s="160">
        <v>62.417491504992917</v>
      </c>
      <c r="D26" s="77"/>
      <c r="E26" s="26">
        <f t="shared" si="3"/>
        <v>2018</v>
      </c>
      <c r="F26" s="26">
        <f t="shared" si="4"/>
        <v>12</v>
      </c>
      <c r="G26" s="165">
        <v>43435</v>
      </c>
      <c r="H26" s="26" t="s">
        <v>147</v>
      </c>
      <c r="I26" s="26"/>
      <c r="J26" s="166">
        <v>3.3842536595548012</v>
      </c>
      <c r="K26" s="166">
        <v>0.17129999999999992</v>
      </c>
      <c r="L26" s="166">
        <v>3.5555536595548012</v>
      </c>
      <c r="M26" s="166">
        <v>3.3842536595548012</v>
      </c>
      <c r="N26" s="166">
        <v>1.0058187458141103</v>
      </c>
      <c r="O26" s="166">
        <v>4.3900724053689117</v>
      </c>
      <c r="P26" s="166">
        <v>3.6956108173482165</v>
      </c>
      <c r="Q26" s="166">
        <v>0.46818750000000003</v>
      </c>
      <c r="R26" s="166">
        <v>4.1637983173482169</v>
      </c>
      <c r="S26" s="26"/>
      <c r="T26" s="167">
        <f t="shared" si="5"/>
        <v>3.488039378819273</v>
      </c>
      <c r="U26" s="167">
        <f t="shared" si="6"/>
        <v>4.0364747940906431</v>
      </c>
      <c r="V26" s="154">
        <v>9</v>
      </c>
      <c r="W26" s="163">
        <f t="shared" ca="1" si="7"/>
        <v>3.8036697494817475</v>
      </c>
      <c r="X26" s="163">
        <f t="shared" ca="1" si="7"/>
        <v>3.7332034209634233</v>
      </c>
      <c r="Y26" s="163">
        <f t="shared" ca="1" si="7"/>
        <v>3.8522680972323013</v>
      </c>
      <c r="Z26" s="163">
        <f t="shared" ca="1" si="7"/>
        <v>3.9174755522519633</v>
      </c>
      <c r="AA26" s="163">
        <f t="shared" ca="1" si="7"/>
        <v>3.9282713507959834</v>
      </c>
      <c r="AB26" s="163">
        <f t="shared" ca="1" si="7"/>
        <v>3.9465936586536947</v>
      </c>
      <c r="AC26" s="163">
        <f t="shared" ca="1" si="7"/>
        <v>3.9582477463288845</v>
      </c>
      <c r="AD26" s="163">
        <f t="shared" ca="1" si="7"/>
        <v>3.9607375453273135</v>
      </c>
      <c r="AE26" s="163">
        <f t="shared" ca="1" si="7"/>
        <v>3.9713218987380325</v>
      </c>
      <c r="AF26" s="163">
        <f t="shared" ca="1" si="7"/>
        <v>3.9874563777356546</v>
      </c>
      <c r="AG26" s="163">
        <f t="shared" ca="1" si="8"/>
        <v>4.0072144656263617</v>
      </c>
      <c r="AH26" s="163">
        <f t="shared" ca="1" si="8"/>
        <v>4.0320425418660477</v>
      </c>
      <c r="AI26" s="163">
        <f t="shared" ca="1" si="8"/>
        <v>4.0599625066717229</v>
      </c>
      <c r="AJ26" s="163">
        <f t="shared" ca="1" si="8"/>
        <v>4.0747417646925266</v>
      </c>
      <c r="AK26" s="163">
        <f t="shared" ca="1" si="8"/>
        <v>4.0861453693650214</v>
      </c>
      <c r="AL26" s="163">
        <f t="shared" ca="1" si="8"/>
        <v>4.0990833061852863</v>
      </c>
      <c r="AM26" s="163">
        <f t="shared" ca="1" si="8"/>
        <v>4.1142994779594479</v>
      </c>
      <c r="AN26" s="163">
        <f t="shared" ca="1" si="8"/>
        <v>4.131188975869823</v>
      </c>
      <c r="AO26" s="163">
        <f t="shared" ca="1" si="8"/>
        <v>4.1504310623353105</v>
      </c>
      <c r="AP26" s="163">
        <f t="shared" ca="1" si="8"/>
        <v>1.450178746719974</v>
      </c>
    </row>
    <row r="27" spans="1:42">
      <c r="A27" s="156"/>
      <c r="B27" s="161">
        <v>1994</v>
      </c>
      <c r="C27" s="160">
        <v>63.749550716441142</v>
      </c>
      <c r="D27" s="77"/>
      <c r="E27" s="26">
        <f t="shared" si="3"/>
        <v>2019</v>
      </c>
      <c r="F27" s="26">
        <f t="shared" si="4"/>
        <v>1</v>
      </c>
      <c r="G27" s="165">
        <v>43466</v>
      </c>
      <c r="H27" s="26" t="s">
        <v>148</v>
      </c>
      <c r="I27" s="26"/>
      <c r="J27" s="166">
        <v>3.6075999312458547</v>
      </c>
      <c r="K27" s="166">
        <v>0.17129999999999992</v>
      </c>
      <c r="L27" s="166">
        <v>3.7788999312458547</v>
      </c>
      <c r="M27" s="166">
        <v>3.6075999312458547</v>
      </c>
      <c r="N27" s="166">
        <v>1.0058187458141103</v>
      </c>
      <c r="O27" s="166">
        <v>4.6134186770599648</v>
      </c>
      <c r="P27" s="166">
        <v>3.928563180716131</v>
      </c>
      <c r="Q27" s="166">
        <v>0.46818750000000003</v>
      </c>
      <c r="R27" s="166">
        <v>4.3967506807161314</v>
      </c>
      <c r="S27" s="26"/>
      <c r="T27" s="167">
        <f t="shared" si="5"/>
        <v>3.7145876810692804</v>
      </c>
      <c r="U27" s="167">
        <f t="shared" si="6"/>
        <v>4.2630230963406506</v>
      </c>
      <c r="V27" s="154">
        <v>10</v>
      </c>
      <c r="W27" s="163">
        <f t="shared" ca="1" si="7"/>
        <v>3.8083882997631804</v>
      </c>
      <c r="X27" s="163">
        <f t="shared" ca="1" si="7"/>
        <v>3.7638914470609737</v>
      </c>
      <c r="Y27" s="163">
        <f t="shared" ca="1" si="7"/>
        <v>3.8964557529109469</v>
      </c>
      <c r="Z27" s="163">
        <f t="shared" ca="1" si="7"/>
        <v>3.952109602740935</v>
      </c>
      <c r="AA27" s="163">
        <f t="shared" ca="1" si="7"/>
        <v>3.9602933349624272</v>
      </c>
      <c r="AB27" s="163">
        <f t="shared" ca="1" si="7"/>
        <v>3.98053667486325</v>
      </c>
      <c r="AC27" s="163">
        <f t="shared" ca="1" si="7"/>
        <v>3.9909696087814495</v>
      </c>
      <c r="AD27" s="163">
        <f t="shared" ca="1" si="7"/>
        <v>3.9928985879729022</v>
      </c>
      <c r="AE27" s="163">
        <f t="shared" ca="1" si="7"/>
        <v>4.004685104348046</v>
      </c>
      <c r="AF27" s="163">
        <f t="shared" ca="1" si="7"/>
        <v>4.0212262990963952</v>
      </c>
      <c r="AG27" s="163">
        <f t="shared" ca="1" si="8"/>
        <v>4.0414916685287254</v>
      </c>
      <c r="AH27" s="163">
        <f t="shared" ca="1" si="8"/>
        <v>4.0670147772995282</v>
      </c>
      <c r="AI27" s="163">
        <f t="shared" ca="1" si="8"/>
        <v>4.0953903152591025</v>
      </c>
      <c r="AJ27" s="163">
        <f t="shared" ca="1" si="8"/>
        <v>4.1087704659321167</v>
      </c>
      <c r="AK27" s="163">
        <f t="shared" ca="1" si="8"/>
        <v>4.1204154466648069</v>
      </c>
      <c r="AL27" s="163">
        <f t="shared" ca="1" si="8"/>
        <v>4.1336024657314612</v>
      </c>
      <c r="AM27" s="163">
        <f t="shared" ca="1" si="8"/>
        <v>4.1491748253804097</v>
      </c>
      <c r="AN27" s="163">
        <f t="shared" ca="1" si="8"/>
        <v>4.1663398484104901</v>
      </c>
      <c r="AO27" s="163">
        <f t="shared" ca="1" si="8"/>
        <v>4.1859879073303468</v>
      </c>
      <c r="AP27" s="163">
        <f t="shared" ca="1" si="8"/>
        <v>1.1552524418415686</v>
      </c>
    </row>
    <row r="28" spans="1:42">
      <c r="A28" s="156"/>
      <c r="B28" s="161">
        <v>1995</v>
      </c>
      <c r="C28" s="160">
        <v>65.087723407187198</v>
      </c>
      <c r="D28" s="77"/>
      <c r="E28" s="26">
        <f t="shared" si="3"/>
        <v>2019</v>
      </c>
      <c r="F28" s="26">
        <f t="shared" si="4"/>
        <v>2</v>
      </c>
      <c r="G28" s="165">
        <v>43497</v>
      </c>
      <c r="H28" s="26" t="s">
        <v>149</v>
      </c>
      <c r="I28" s="26"/>
      <c r="J28" s="166">
        <v>3.6855987610067964</v>
      </c>
      <c r="K28" s="166">
        <v>0.17129999999999992</v>
      </c>
      <c r="L28" s="166">
        <v>3.8568987610067964</v>
      </c>
      <c r="M28" s="166">
        <v>3.6855987610067964</v>
      </c>
      <c r="N28" s="166">
        <v>1.0058187458141103</v>
      </c>
      <c r="O28" s="166">
        <v>4.6914175068209065</v>
      </c>
      <c r="P28" s="166">
        <v>4.0023497043574494</v>
      </c>
      <c r="Q28" s="166">
        <v>0.46818750000000003</v>
      </c>
      <c r="R28" s="166">
        <v>4.4705372043574494</v>
      </c>
      <c r="S28" s="26"/>
      <c r="T28" s="167">
        <f t="shared" si="5"/>
        <v>3.791182408790347</v>
      </c>
      <c r="U28" s="167">
        <f t="shared" si="6"/>
        <v>4.339617824061718</v>
      </c>
      <c r="V28" s="154">
        <v>11</v>
      </c>
      <c r="W28" s="163">
        <f t="shared" ca="1" si="7"/>
        <v>3.7215997164579053</v>
      </c>
      <c r="X28" s="163">
        <f t="shared" ca="1" si="7"/>
        <v>3.7040715104909032</v>
      </c>
      <c r="Y28" s="163">
        <f t="shared" ca="1" si="7"/>
        <v>3.8462866347754723</v>
      </c>
      <c r="Z28" s="163">
        <f t="shared" ca="1" si="7"/>
        <v>3.8909171349798286</v>
      </c>
      <c r="AA28" s="163">
        <f t="shared" ca="1" si="7"/>
        <v>3.89628426576922</v>
      </c>
      <c r="AB28" s="163">
        <f t="shared" ca="1" si="7"/>
        <v>3.9178622497500295</v>
      </c>
      <c r="AC28" s="163">
        <f t="shared" ca="1" si="7"/>
        <v>3.9267930415457974</v>
      </c>
      <c r="AD28" s="163">
        <f t="shared" ca="1" si="7"/>
        <v>3.9281124635771731</v>
      </c>
      <c r="AE28" s="163">
        <f t="shared" ca="1" si="7"/>
        <v>3.940758920494972</v>
      </c>
      <c r="AF28" s="163">
        <f t="shared" ca="1" si="7"/>
        <v>3.95723884470274</v>
      </c>
      <c r="AG28" s="163">
        <f t="shared" ca="1" si="8"/>
        <v>3.9774380580678241</v>
      </c>
      <c r="AH28" s="163">
        <f t="shared" ca="1" si="8"/>
        <v>4.0029334477099487</v>
      </c>
      <c r="AI28" s="163">
        <f t="shared" ca="1" si="8"/>
        <v>4.0309640770797772</v>
      </c>
      <c r="AJ28" s="163">
        <f t="shared" ca="1" si="8"/>
        <v>4.0425831522784987</v>
      </c>
      <c r="AK28" s="163">
        <f t="shared" ca="1" si="8"/>
        <v>4.0541404787173496</v>
      </c>
      <c r="AL28" s="163">
        <f t="shared" ca="1" si="8"/>
        <v>4.0672042120007825</v>
      </c>
      <c r="AM28" s="163">
        <f t="shared" ca="1" si="8"/>
        <v>4.0826924399913018</v>
      </c>
      <c r="AN28" s="163">
        <f t="shared" ca="1" si="8"/>
        <v>4.099648758704201</v>
      </c>
      <c r="AO28" s="163">
        <f t="shared" ca="1" si="8"/>
        <v>4.1191476441589545</v>
      </c>
      <c r="AP28" s="163">
        <f t="shared" ca="1" si="8"/>
        <v>0.84613170950201033</v>
      </c>
    </row>
    <row r="29" spans="1:42">
      <c r="A29" s="156"/>
      <c r="B29" s="161">
        <v>1996</v>
      </c>
      <c r="C29" s="160">
        <v>66.278493319307913</v>
      </c>
      <c r="D29" s="77"/>
      <c r="E29" s="26">
        <f t="shared" si="3"/>
        <v>2019</v>
      </c>
      <c r="F29" s="26">
        <f t="shared" si="4"/>
        <v>3</v>
      </c>
      <c r="G29" s="165">
        <v>43525</v>
      </c>
      <c r="H29" s="26" t="s">
        <v>150</v>
      </c>
      <c r="I29" s="26"/>
      <c r="J29" s="166">
        <v>3.2950215002672452</v>
      </c>
      <c r="K29" s="166">
        <v>0.17129999999999992</v>
      </c>
      <c r="L29" s="166">
        <v>3.4663215002672452</v>
      </c>
      <c r="M29" s="166">
        <v>3.2950215002672452</v>
      </c>
      <c r="N29" s="166">
        <v>1.0058187458141103</v>
      </c>
      <c r="O29" s="166">
        <v>4.3008402460813553</v>
      </c>
      <c r="P29" s="166">
        <v>3.568259176648779</v>
      </c>
      <c r="Q29" s="166">
        <v>0.46818750000000003</v>
      </c>
      <c r="R29" s="166">
        <v>4.0364466766487794</v>
      </c>
      <c r="S29" s="26"/>
      <c r="T29" s="167">
        <f t="shared" si="5"/>
        <v>3.3861007257277564</v>
      </c>
      <c r="U29" s="167">
        <f t="shared" si="6"/>
        <v>3.9345361409991266</v>
      </c>
      <c r="V29" s="154">
        <v>12</v>
      </c>
      <c r="W29" s="163">
        <f t="shared" ca="1" si="7"/>
        <v>4.0269680695720167</v>
      </c>
      <c r="X29" s="163">
        <f t="shared" ca="1" si="7"/>
        <v>4.0364747940906431</v>
      </c>
      <c r="Y29" s="163">
        <f t="shared" ca="1" si="7"/>
        <v>4.2070576526361663</v>
      </c>
      <c r="Z29" s="163">
        <f t="shared" ca="1" si="7"/>
        <v>4.2453543138502114</v>
      </c>
      <c r="AA29" s="163">
        <f t="shared" ca="1" si="7"/>
        <v>4.2483431310048987</v>
      </c>
      <c r="AB29" s="163">
        <f t="shared" ca="1" si="7"/>
        <v>4.2740847078326993</v>
      </c>
      <c r="AC29" s="163">
        <f t="shared" ca="1" si="7"/>
        <v>4.2825110593805382</v>
      </c>
      <c r="AD29" s="163">
        <f t="shared" ca="1" si="7"/>
        <v>4.2833356535263727</v>
      </c>
      <c r="AE29" s="163">
        <f t="shared" ca="1" si="7"/>
        <v>4.2985065966049296</v>
      </c>
      <c r="AF29" s="163">
        <f t="shared" ca="1" si="7"/>
        <v>4.3169947535555773</v>
      </c>
      <c r="AG29" s="163">
        <f t="shared" ca="1" si="8"/>
        <v>4.3396651258428198</v>
      </c>
      <c r="AH29" s="163">
        <f t="shared" ca="1" si="8"/>
        <v>4.3683400895020323</v>
      </c>
      <c r="AI29" s="163">
        <f t="shared" ca="1" si="8"/>
        <v>4.3995255334670782</v>
      </c>
      <c r="AJ29" s="163">
        <f t="shared" ca="1" si="8"/>
        <v>4.410697841691376</v>
      </c>
      <c r="AK29" s="163">
        <f t="shared" ca="1" si="8"/>
        <v>4.4236150848209013</v>
      </c>
      <c r="AL29" s="163">
        <f t="shared" ca="1" si="8"/>
        <v>4.4381897427078929</v>
      </c>
      <c r="AM29" s="163">
        <f t="shared" ca="1" si="8"/>
        <v>4.4555365703774656</v>
      </c>
      <c r="AN29" s="163">
        <f t="shared" ca="1" si="8"/>
        <v>4.4744012359052912</v>
      </c>
      <c r="AO29" s="163">
        <f t="shared" ca="1" si="8"/>
        <v>4.4961931014865675</v>
      </c>
      <c r="AP29" s="163">
        <f t="shared" ca="1" si="8"/>
        <v>0.54843541527137041</v>
      </c>
    </row>
    <row r="30" spans="1:42">
      <c r="A30" s="156"/>
      <c r="B30" s="161">
        <v>1997</v>
      </c>
      <c r="C30" s="160">
        <v>67.421940373160282</v>
      </c>
      <c r="D30" s="77"/>
      <c r="E30" s="26">
        <f t="shared" si="3"/>
        <v>2019</v>
      </c>
      <c r="F30" s="26">
        <f t="shared" si="4"/>
        <v>4</v>
      </c>
      <c r="G30" s="165">
        <v>43556</v>
      </c>
      <c r="H30" s="26" t="s">
        <v>151</v>
      </c>
      <c r="I30" s="26"/>
      <c r="J30" s="166">
        <v>3.2935223159802232</v>
      </c>
      <c r="K30" s="166">
        <v>0.17129999999999992</v>
      </c>
      <c r="L30" s="166">
        <v>3.4648223159802232</v>
      </c>
      <c r="M30" s="166">
        <v>3.2935223159802232</v>
      </c>
      <c r="N30" s="166">
        <v>1.0058187458141103</v>
      </c>
      <c r="O30" s="166">
        <v>4.2993410617943333</v>
      </c>
      <c r="P30" s="166">
        <v>3.5567181910095624</v>
      </c>
      <c r="Q30" s="166">
        <v>0.46818750000000003</v>
      </c>
      <c r="R30" s="166">
        <v>4.0249056910095629</v>
      </c>
      <c r="S30" s="26"/>
      <c r="T30" s="167">
        <f t="shared" si="5"/>
        <v>3.3812542743233363</v>
      </c>
      <c r="U30" s="167">
        <f t="shared" si="6"/>
        <v>3.9296896895947064</v>
      </c>
    </row>
    <row r="31" spans="1:42">
      <c r="A31" s="156"/>
      <c r="B31" s="161">
        <v>1998</v>
      </c>
      <c r="C31" s="160">
        <v>68.180464656408887</v>
      </c>
      <c r="D31" s="77"/>
      <c r="E31" s="26">
        <f t="shared" si="3"/>
        <v>2019</v>
      </c>
      <c r="F31" s="26">
        <f t="shared" si="4"/>
        <v>5</v>
      </c>
      <c r="G31" s="165">
        <v>43586</v>
      </c>
      <c r="H31" s="26" t="s">
        <v>152</v>
      </c>
      <c r="I31" s="26"/>
      <c r="J31" s="166">
        <v>3.4682365530170571</v>
      </c>
      <c r="K31" s="166">
        <v>0.17129999999999992</v>
      </c>
      <c r="L31" s="166">
        <v>3.6395365530170571</v>
      </c>
      <c r="M31" s="166">
        <v>3.4682365530170571</v>
      </c>
      <c r="N31" s="166">
        <v>1.0058187458141103</v>
      </c>
      <c r="O31" s="166">
        <v>4.4740552988311677</v>
      </c>
      <c r="P31" s="166">
        <v>3.7349759228646655</v>
      </c>
      <c r="Q31" s="166">
        <v>0.46818750000000003</v>
      </c>
      <c r="R31" s="166">
        <v>4.2031634228646659</v>
      </c>
      <c r="S31" s="26"/>
      <c r="T31" s="167">
        <f t="shared" si="5"/>
        <v>3.5571496762995931</v>
      </c>
      <c r="U31" s="167">
        <f t="shared" si="6"/>
        <v>4.1055850915709637</v>
      </c>
    </row>
    <row r="32" spans="1:42">
      <c r="A32" s="156"/>
      <c r="B32" s="161">
        <v>1999</v>
      </c>
      <c r="C32" s="160">
        <v>69.164281973040275</v>
      </c>
      <c r="D32" s="77"/>
      <c r="E32" s="26">
        <f t="shared" si="3"/>
        <v>2019</v>
      </c>
      <c r="F32" s="26">
        <f t="shared" si="4"/>
        <v>6</v>
      </c>
      <c r="G32" s="165">
        <v>43617</v>
      </c>
      <c r="H32" s="26" t="s">
        <v>153</v>
      </c>
      <c r="I32" s="26"/>
      <c r="J32" s="166">
        <v>3.4151617611636169</v>
      </c>
      <c r="K32" s="166">
        <v>0.17129999999999992</v>
      </c>
      <c r="L32" s="166">
        <v>3.5864617611636169</v>
      </c>
      <c r="M32" s="166">
        <v>3.4151617611636169</v>
      </c>
      <c r="N32" s="166">
        <v>1.0058187458141103</v>
      </c>
      <c r="O32" s="166">
        <v>4.4209805069777275</v>
      </c>
      <c r="P32" s="166">
        <v>3.7400262745539186</v>
      </c>
      <c r="Q32" s="166">
        <v>0.46818750000000003</v>
      </c>
      <c r="R32" s="166">
        <v>4.2082137745539185</v>
      </c>
      <c r="S32" s="26"/>
      <c r="T32" s="167">
        <f t="shared" si="5"/>
        <v>3.5234499322937176</v>
      </c>
      <c r="U32" s="167">
        <f t="shared" si="6"/>
        <v>4.0718853475650878</v>
      </c>
    </row>
    <row r="33" spans="1:21">
      <c r="A33" s="156"/>
      <c r="B33" s="161">
        <v>2000</v>
      </c>
      <c r="C33" s="160">
        <v>70.710992235389895</v>
      </c>
      <c r="D33" s="77"/>
      <c r="E33" s="26">
        <f t="shared" si="3"/>
        <v>2019</v>
      </c>
      <c r="F33" s="26">
        <f t="shared" si="4"/>
        <v>7</v>
      </c>
      <c r="G33" s="165">
        <v>43647</v>
      </c>
      <c r="H33" s="26" t="s">
        <v>154</v>
      </c>
      <c r="I33" s="26"/>
      <c r="J33" s="166">
        <v>3.4615626122699084</v>
      </c>
      <c r="K33" s="166">
        <v>0.17129999999999992</v>
      </c>
      <c r="L33" s="166">
        <v>3.6328626122699084</v>
      </c>
      <c r="M33" s="166">
        <v>3.4615626122699084</v>
      </c>
      <c r="N33" s="166">
        <v>1.0058187458141103</v>
      </c>
      <c r="O33" s="166">
        <v>4.4673813580840189</v>
      </c>
      <c r="P33" s="166">
        <v>3.7925944993831235</v>
      </c>
      <c r="Q33" s="166">
        <v>0.46818750000000003</v>
      </c>
      <c r="R33" s="166">
        <v>4.2607819993831235</v>
      </c>
      <c r="S33" s="26"/>
      <c r="T33" s="167">
        <f t="shared" si="5"/>
        <v>3.5719065746409804</v>
      </c>
      <c r="U33" s="167">
        <f t="shared" si="6"/>
        <v>4.1203419899123501</v>
      </c>
    </row>
    <row r="34" spans="1:21">
      <c r="A34" s="156"/>
      <c r="B34" s="161">
        <v>2001</v>
      </c>
      <c r="C34" s="160">
        <v>72.265627378310768</v>
      </c>
      <c r="D34" s="77"/>
      <c r="E34" s="26">
        <f t="shared" si="3"/>
        <v>2019</v>
      </c>
      <c r="F34" s="26">
        <f t="shared" si="4"/>
        <v>8</v>
      </c>
      <c r="G34" s="165">
        <v>43678</v>
      </c>
      <c r="H34" s="26" t="s">
        <v>155</v>
      </c>
      <c r="I34" s="26"/>
      <c r="J34" s="166">
        <v>3.500494547157869</v>
      </c>
      <c r="K34" s="166">
        <v>0.17129999999999992</v>
      </c>
      <c r="L34" s="166">
        <v>3.671794547157869</v>
      </c>
      <c r="M34" s="166">
        <v>3.500494547157869</v>
      </c>
      <c r="N34" s="166">
        <v>1.0058187458141103</v>
      </c>
      <c r="O34" s="166">
        <v>4.5063132929719796</v>
      </c>
      <c r="P34" s="166">
        <v>3.8370093535296865</v>
      </c>
      <c r="Q34" s="166">
        <v>0.46818750000000003</v>
      </c>
      <c r="R34" s="166">
        <v>4.3051968535296865</v>
      </c>
      <c r="S34" s="26"/>
      <c r="T34" s="167">
        <f t="shared" si="5"/>
        <v>3.6126661492818086</v>
      </c>
      <c r="U34" s="167">
        <f t="shared" si="6"/>
        <v>4.1611015645531788</v>
      </c>
    </row>
    <row r="35" spans="1:21">
      <c r="A35" s="156"/>
      <c r="B35" s="161">
        <v>2002</v>
      </c>
      <c r="C35" s="160">
        <v>73.407489456048893</v>
      </c>
      <c r="D35" s="77"/>
      <c r="E35" s="26">
        <f t="shared" si="3"/>
        <v>2019</v>
      </c>
      <c r="F35" s="26">
        <f t="shared" si="4"/>
        <v>9</v>
      </c>
      <c r="G35" s="165">
        <v>43709</v>
      </c>
      <c r="H35" s="26" t="s">
        <v>156</v>
      </c>
      <c r="I35" s="26"/>
      <c r="J35" s="166">
        <v>3.2007344129163018</v>
      </c>
      <c r="K35" s="166">
        <v>0.17129999999999992</v>
      </c>
      <c r="L35" s="166">
        <v>3.3720344129163018</v>
      </c>
      <c r="M35" s="166">
        <v>3.2007344129163018</v>
      </c>
      <c r="N35" s="166">
        <v>1.0058187458141103</v>
      </c>
      <c r="O35" s="166">
        <v>4.2065531587304124</v>
      </c>
      <c r="P35" s="166">
        <v>3.5100292200501904</v>
      </c>
      <c r="Q35" s="166">
        <v>0.46818750000000003</v>
      </c>
      <c r="R35" s="166">
        <v>3.9782167200501903</v>
      </c>
      <c r="S35" s="26"/>
      <c r="T35" s="167">
        <f t="shared" si="5"/>
        <v>3.3038326819609316</v>
      </c>
      <c r="U35" s="167">
        <f t="shared" si="6"/>
        <v>3.8522680972323013</v>
      </c>
    </row>
    <row r="36" spans="1:21">
      <c r="A36" s="156"/>
      <c r="B36" s="161">
        <v>2003</v>
      </c>
      <c r="C36" s="160">
        <v>74.766493261439351</v>
      </c>
      <c r="D36" s="77"/>
      <c r="E36" s="26">
        <f t="shared" si="3"/>
        <v>2019</v>
      </c>
      <c r="F36" s="26">
        <f t="shared" si="4"/>
        <v>10</v>
      </c>
      <c r="G36" s="165">
        <v>43739</v>
      </c>
      <c r="H36" s="26" t="s">
        <v>157</v>
      </c>
      <c r="I36" s="26"/>
      <c r="J36" s="166">
        <v>3.2430245564049009</v>
      </c>
      <c r="K36" s="166">
        <v>0.17129999999999992</v>
      </c>
      <c r="L36" s="166">
        <v>3.414324556404901</v>
      </c>
      <c r="M36" s="166">
        <v>3.2430245564049009</v>
      </c>
      <c r="N36" s="166">
        <v>1.0058187458141103</v>
      </c>
      <c r="O36" s="166">
        <v>4.2488433022190115</v>
      </c>
      <c r="P36" s="166">
        <v>3.5580119001089261</v>
      </c>
      <c r="Q36" s="166">
        <v>0.46818750000000003</v>
      </c>
      <c r="R36" s="166">
        <v>4.0261994001089265</v>
      </c>
      <c r="S36" s="26"/>
      <c r="T36" s="167">
        <f t="shared" si="5"/>
        <v>3.3480203376395763</v>
      </c>
      <c r="U36" s="167">
        <f t="shared" si="6"/>
        <v>3.8964557529109469</v>
      </c>
    </row>
    <row r="37" spans="1:21">
      <c r="A37" s="156"/>
      <c r="B37" s="161">
        <v>2004</v>
      </c>
      <c r="C37" s="160">
        <v>76.778960076219533</v>
      </c>
      <c r="D37" s="77"/>
      <c r="E37" s="26">
        <f t="shared" si="3"/>
        <v>2019</v>
      </c>
      <c r="F37" s="26">
        <f t="shared" si="4"/>
        <v>11</v>
      </c>
      <c r="G37" s="165">
        <v>43770</v>
      </c>
      <c r="H37" s="26" t="s">
        <v>158</v>
      </c>
      <c r="I37" s="26"/>
      <c r="J37" s="166">
        <v>3.1939219186474248</v>
      </c>
      <c r="K37" s="166">
        <v>0.17129999999999992</v>
      </c>
      <c r="L37" s="166">
        <v>3.3652219186474248</v>
      </c>
      <c r="M37" s="166">
        <v>3.1939219186474248</v>
      </c>
      <c r="N37" s="166">
        <v>1.0058187458141103</v>
      </c>
      <c r="O37" s="166">
        <v>4.1997406644615349</v>
      </c>
      <c r="P37" s="166">
        <v>3.5057098212174576</v>
      </c>
      <c r="Q37" s="166">
        <v>0.46818750000000003</v>
      </c>
      <c r="R37" s="166">
        <v>3.9738973212174575</v>
      </c>
      <c r="S37" s="26"/>
      <c r="T37" s="167">
        <f t="shared" si="5"/>
        <v>3.2978512195041021</v>
      </c>
      <c r="U37" s="167">
        <f t="shared" si="6"/>
        <v>3.8462866347754723</v>
      </c>
    </row>
    <row r="38" spans="1:21">
      <c r="A38" s="156"/>
      <c r="B38" s="161">
        <v>2005</v>
      </c>
      <c r="C38" s="160">
        <v>79.171594733260747</v>
      </c>
      <c r="D38" s="77"/>
      <c r="E38" s="26">
        <f t="shared" si="3"/>
        <v>2019</v>
      </c>
      <c r="F38" s="26">
        <f t="shared" si="4"/>
        <v>12</v>
      </c>
      <c r="G38" s="165">
        <v>43800</v>
      </c>
      <c r="H38" s="26" t="s">
        <v>159</v>
      </c>
      <c r="I38" s="26"/>
      <c r="J38" s="166">
        <v>3.5427655802727345</v>
      </c>
      <c r="K38" s="166">
        <v>0.17129999999999992</v>
      </c>
      <c r="L38" s="166">
        <v>3.7140655802727345</v>
      </c>
      <c r="M38" s="166">
        <v>3.5427655802727345</v>
      </c>
      <c r="N38" s="166">
        <v>1.0058187458141103</v>
      </c>
      <c r="O38" s="166">
        <v>4.5485843260868446</v>
      </c>
      <c r="P38" s="166">
        <v>3.8903355515489206</v>
      </c>
      <c r="Q38" s="166">
        <v>0.46818750000000003</v>
      </c>
      <c r="R38" s="166">
        <v>4.3585230515489206</v>
      </c>
      <c r="S38" s="26"/>
      <c r="T38" s="167">
        <f t="shared" si="5"/>
        <v>3.658622237364797</v>
      </c>
      <c r="U38" s="167">
        <f t="shared" si="6"/>
        <v>4.2070576526361663</v>
      </c>
    </row>
    <row r="39" spans="1:21">
      <c r="A39" s="156"/>
      <c r="B39" s="161">
        <v>2006</v>
      </c>
      <c r="C39" s="160">
        <v>81.57079571991811</v>
      </c>
      <c r="D39" s="77"/>
      <c r="E39" s="26">
        <f t="shared" si="3"/>
        <v>2020</v>
      </c>
      <c r="F39" s="26">
        <f t="shared" si="4"/>
        <v>1</v>
      </c>
      <c r="G39" s="165">
        <v>43831</v>
      </c>
      <c r="H39" s="26" t="s">
        <v>160</v>
      </c>
      <c r="I39" s="26"/>
      <c r="J39" s="166">
        <v>3.7860757055556871</v>
      </c>
      <c r="K39" s="166">
        <v>0.17129999999999992</v>
      </c>
      <c r="L39" s="166">
        <v>3.9573757055556871</v>
      </c>
      <c r="M39" s="166">
        <v>3.7860757055556871</v>
      </c>
      <c r="N39" s="166">
        <v>1.0058187458141103</v>
      </c>
      <c r="O39" s="166">
        <v>4.7918944513697976</v>
      </c>
      <c r="P39" s="166">
        <v>4.1593493168879574</v>
      </c>
      <c r="Q39" s="166">
        <v>0.46818750000000003</v>
      </c>
      <c r="R39" s="166">
        <v>4.6275368168879574</v>
      </c>
      <c r="S39" s="26"/>
      <c r="T39" s="167">
        <f t="shared" si="5"/>
        <v>3.9105002426664441</v>
      </c>
      <c r="U39" s="167">
        <f t="shared" si="6"/>
        <v>4.4589356579378139</v>
      </c>
    </row>
    <row r="40" spans="1:21">
      <c r="A40" s="156"/>
      <c r="B40" s="161">
        <v>2007</v>
      </c>
      <c r="C40" s="160">
        <v>83.761459134971915</v>
      </c>
      <c r="D40" s="77"/>
      <c r="E40" s="26">
        <f t="shared" si="3"/>
        <v>2020</v>
      </c>
      <c r="F40" s="26">
        <f t="shared" si="4"/>
        <v>2</v>
      </c>
      <c r="G40" s="165">
        <v>43862</v>
      </c>
      <c r="H40" s="26" t="s">
        <v>161</v>
      </c>
      <c r="I40" s="26"/>
      <c r="J40" s="166">
        <v>3.8776180839427563</v>
      </c>
      <c r="K40" s="166">
        <v>0.17129999999999992</v>
      </c>
      <c r="L40" s="166">
        <v>4.0489180839427563</v>
      </c>
      <c r="M40" s="166">
        <v>3.8776180839427563</v>
      </c>
      <c r="N40" s="166">
        <v>1.0058187458141103</v>
      </c>
      <c r="O40" s="166">
        <v>4.8834368297568664</v>
      </c>
      <c r="P40" s="166">
        <v>4.2617806151186617</v>
      </c>
      <c r="Q40" s="166">
        <v>0.46818750000000003</v>
      </c>
      <c r="R40" s="166">
        <v>4.7299681151186617</v>
      </c>
      <c r="S40" s="26"/>
      <c r="T40" s="167">
        <f t="shared" si="5"/>
        <v>4.0056722610013908</v>
      </c>
      <c r="U40" s="167">
        <f t="shared" si="6"/>
        <v>4.5541076762727615</v>
      </c>
    </row>
    <row r="41" spans="1:21">
      <c r="A41" s="156"/>
      <c r="B41" s="161">
        <v>2008</v>
      </c>
      <c r="C41" s="160">
        <v>85.397380910037938</v>
      </c>
      <c r="D41" s="77"/>
      <c r="E41" s="26">
        <f t="shared" si="3"/>
        <v>2020</v>
      </c>
      <c r="F41" s="26">
        <f t="shared" si="4"/>
        <v>3</v>
      </c>
      <c r="G41" s="165">
        <v>43891</v>
      </c>
      <c r="H41" s="26" t="s">
        <v>162</v>
      </c>
      <c r="I41" s="26"/>
      <c r="J41" s="166">
        <v>3.4753293666277658</v>
      </c>
      <c r="K41" s="166">
        <v>0.17129999999999992</v>
      </c>
      <c r="L41" s="166">
        <v>3.6466293666277658</v>
      </c>
      <c r="M41" s="166">
        <v>3.4753293666277658</v>
      </c>
      <c r="N41" s="166">
        <v>1.0058187458141103</v>
      </c>
      <c r="O41" s="166">
        <v>4.4811481124418764</v>
      </c>
      <c r="P41" s="166">
        <v>3.8212944234413087</v>
      </c>
      <c r="Q41" s="166">
        <v>0.46818750000000003</v>
      </c>
      <c r="R41" s="166">
        <v>4.2894819234413086</v>
      </c>
      <c r="S41" s="26"/>
      <c r="T41" s="167">
        <f t="shared" si="5"/>
        <v>3.5906510522322801</v>
      </c>
      <c r="U41" s="167">
        <f t="shared" si="6"/>
        <v>4.1390864675036498</v>
      </c>
    </row>
    <row r="42" spans="1:21">
      <c r="A42" s="156"/>
      <c r="B42" s="161">
        <v>2009</v>
      </c>
      <c r="C42" s="160">
        <v>86.044051164652274</v>
      </c>
      <c r="D42" s="77"/>
      <c r="E42" s="26">
        <f t="shared" si="3"/>
        <v>2020</v>
      </c>
      <c r="F42" s="26">
        <f t="shared" si="4"/>
        <v>4</v>
      </c>
      <c r="G42" s="165">
        <v>43922</v>
      </c>
      <c r="H42" s="26" t="s">
        <v>163</v>
      </c>
      <c r="I42" s="26"/>
      <c r="J42" s="166">
        <v>3.482361014191099</v>
      </c>
      <c r="K42" s="166">
        <v>0.17129999999999992</v>
      </c>
      <c r="L42" s="166">
        <v>3.653661014191099</v>
      </c>
      <c r="M42" s="166">
        <v>3.482361014191099</v>
      </c>
      <c r="N42" s="166">
        <v>1.0058187458141103</v>
      </c>
      <c r="O42" s="166">
        <v>4.4881797600052096</v>
      </c>
      <c r="P42" s="166">
        <v>3.8306751968938317</v>
      </c>
      <c r="Q42" s="166">
        <v>0.46818750000000003</v>
      </c>
      <c r="R42" s="166">
        <v>4.2988626968938322</v>
      </c>
      <c r="S42" s="26"/>
      <c r="T42" s="167">
        <f t="shared" si="5"/>
        <v>3.5984657417586767</v>
      </c>
      <c r="U42" s="167">
        <f t="shared" si="6"/>
        <v>4.1469011570300474</v>
      </c>
    </row>
    <row r="43" spans="1:21">
      <c r="A43" s="156"/>
      <c r="B43" s="161">
        <v>2010</v>
      </c>
      <c r="C43" s="160">
        <v>87.043944667585365</v>
      </c>
      <c r="D43" s="77"/>
      <c r="E43" s="26">
        <f t="shared" si="3"/>
        <v>2020</v>
      </c>
      <c r="F43" s="26">
        <f t="shared" si="4"/>
        <v>5</v>
      </c>
      <c r="G43" s="165">
        <v>43952</v>
      </c>
      <c r="H43" s="26" t="s">
        <v>164</v>
      </c>
      <c r="I43" s="26"/>
      <c r="J43" s="166">
        <v>3.6761406955477063</v>
      </c>
      <c r="K43" s="166">
        <v>0.17129999999999992</v>
      </c>
      <c r="L43" s="166">
        <v>3.8474406955477063</v>
      </c>
      <c r="M43" s="166">
        <v>3.6761406955477063</v>
      </c>
      <c r="N43" s="166">
        <v>1.0058187458141103</v>
      </c>
      <c r="O43" s="166">
        <v>4.6819594413618164</v>
      </c>
      <c r="P43" s="166">
        <v>4.045565348082576</v>
      </c>
      <c r="Q43" s="166">
        <v>0.46818750000000003</v>
      </c>
      <c r="R43" s="166">
        <v>4.5137528480825759</v>
      </c>
      <c r="S43" s="26"/>
      <c r="T43" s="167">
        <f t="shared" si="5"/>
        <v>3.799282246392663</v>
      </c>
      <c r="U43" s="167">
        <f t="shared" si="6"/>
        <v>4.3477176616640323</v>
      </c>
    </row>
    <row r="44" spans="1:21">
      <c r="A44" s="156"/>
      <c r="B44" s="161">
        <v>2011</v>
      </c>
      <c r="C44" s="160">
        <v>88.863044396426929</v>
      </c>
      <c r="D44" s="77"/>
      <c r="E44" s="26">
        <f t="shared" si="3"/>
        <v>2020</v>
      </c>
      <c r="F44" s="26">
        <f t="shared" si="4"/>
        <v>6</v>
      </c>
      <c r="G44" s="165">
        <v>43983</v>
      </c>
      <c r="H44" s="26" t="s">
        <v>165</v>
      </c>
      <c r="I44" s="26"/>
      <c r="J44" s="166">
        <v>3.5060882683577943</v>
      </c>
      <c r="K44" s="166">
        <v>0.17129999999999992</v>
      </c>
      <c r="L44" s="166">
        <v>3.6773882683577943</v>
      </c>
      <c r="M44" s="166">
        <v>3.5060882683577943</v>
      </c>
      <c r="N44" s="166">
        <v>1.0058187458141103</v>
      </c>
      <c r="O44" s="166">
        <v>4.5119070141719044</v>
      </c>
      <c r="P44" s="166">
        <v>3.8671188501265035</v>
      </c>
      <c r="Q44" s="166">
        <v>0.46818750000000003</v>
      </c>
      <c r="R44" s="166">
        <v>4.3353063501265039</v>
      </c>
      <c r="S44" s="26"/>
      <c r="T44" s="167">
        <f t="shared" si="5"/>
        <v>3.6264317956140304</v>
      </c>
      <c r="U44" s="167">
        <f t="shared" si="6"/>
        <v>4.1748672108854015</v>
      </c>
    </row>
    <row r="45" spans="1:21">
      <c r="A45" s="156"/>
      <c r="B45" s="161">
        <v>2012</v>
      </c>
      <c r="C45" s="160">
        <v>90.568931545679163</v>
      </c>
      <c r="D45" s="77"/>
      <c r="E45" s="26">
        <f t="shared" si="3"/>
        <v>2020</v>
      </c>
      <c r="F45" s="26">
        <f t="shared" si="4"/>
        <v>7</v>
      </c>
      <c r="G45" s="165">
        <v>44013</v>
      </c>
      <c r="H45" s="26" t="s">
        <v>166</v>
      </c>
      <c r="I45" s="26"/>
      <c r="J45" s="166">
        <v>3.5423728285330469</v>
      </c>
      <c r="K45" s="166">
        <v>0.17129999999999992</v>
      </c>
      <c r="L45" s="166">
        <v>3.7136728285330469</v>
      </c>
      <c r="M45" s="166">
        <v>3.5423728285330469</v>
      </c>
      <c r="N45" s="166">
        <v>1.0058187458141103</v>
      </c>
      <c r="O45" s="166">
        <v>4.5481915743471575</v>
      </c>
      <c r="P45" s="166">
        <v>3.9100000911893216</v>
      </c>
      <c r="Q45" s="166">
        <v>0.46818750000000003</v>
      </c>
      <c r="R45" s="166">
        <v>4.378187591189322</v>
      </c>
      <c r="S45" s="26"/>
      <c r="T45" s="167">
        <f t="shared" si="5"/>
        <v>3.6649152494184718</v>
      </c>
      <c r="U45" s="167">
        <f t="shared" si="6"/>
        <v>4.213350664689842</v>
      </c>
    </row>
    <row r="46" spans="1:21">
      <c r="A46" s="156"/>
      <c r="B46" s="161">
        <v>2013</v>
      </c>
      <c r="C46" s="160">
        <v>92.156171911521753</v>
      </c>
      <c r="D46" s="77"/>
      <c r="E46" s="26">
        <f t="shared" si="3"/>
        <v>2020</v>
      </c>
      <c r="F46" s="26">
        <f t="shared" si="4"/>
        <v>8</v>
      </c>
      <c r="G46" s="165">
        <v>44044</v>
      </c>
      <c r="H46" s="26" t="s">
        <v>167</v>
      </c>
      <c r="I46" s="26"/>
      <c r="J46" s="166">
        <v>3.5708211726558932</v>
      </c>
      <c r="K46" s="166">
        <v>0.17129999999999992</v>
      </c>
      <c r="L46" s="166">
        <v>3.7421211726558932</v>
      </c>
      <c r="M46" s="166">
        <v>3.5708211726558932</v>
      </c>
      <c r="N46" s="166">
        <v>1.0058187458141103</v>
      </c>
      <c r="O46" s="166">
        <v>4.5766399184700033</v>
      </c>
      <c r="P46" s="166">
        <v>3.9442806459371451</v>
      </c>
      <c r="Q46" s="166">
        <v>0.46818750000000003</v>
      </c>
      <c r="R46" s="166">
        <v>4.4124681459371455</v>
      </c>
      <c r="S46" s="26"/>
      <c r="T46" s="167">
        <f t="shared" si="5"/>
        <v>3.6953076637496438</v>
      </c>
      <c r="U46" s="167">
        <f t="shared" si="6"/>
        <v>4.243743079021014</v>
      </c>
    </row>
    <row r="47" spans="1:21">
      <c r="A47" s="156"/>
      <c r="B47" s="161">
        <v>2014</v>
      </c>
      <c r="C47" s="160">
        <v>93.897607810765038</v>
      </c>
      <c r="D47" s="77"/>
      <c r="E47" s="26">
        <f t="shared" si="3"/>
        <v>2020</v>
      </c>
      <c r="F47" s="26">
        <f t="shared" si="4"/>
        <v>9</v>
      </c>
      <c r="G47" s="165">
        <v>44075</v>
      </c>
      <c r="H47" s="26" t="s">
        <v>168</v>
      </c>
      <c r="I47" s="26"/>
      <c r="J47" s="166">
        <v>3.2547003912408359</v>
      </c>
      <c r="K47" s="166">
        <v>0.17129999999999992</v>
      </c>
      <c r="L47" s="166">
        <v>3.4260003912408359</v>
      </c>
      <c r="M47" s="166">
        <v>3.2547003912408359</v>
      </c>
      <c r="N47" s="166">
        <v>1.0058187458141103</v>
      </c>
      <c r="O47" s="166">
        <v>4.2605191370549464</v>
      </c>
      <c r="P47" s="166">
        <v>3.5977196284601067</v>
      </c>
      <c r="Q47" s="166">
        <v>0.46818750000000003</v>
      </c>
      <c r="R47" s="166">
        <v>4.0659071284601067</v>
      </c>
      <c r="S47" s="26"/>
      <c r="T47" s="167">
        <f t="shared" si="5"/>
        <v>3.3690401369805927</v>
      </c>
      <c r="U47" s="167">
        <f t="shared" si="6"/>
        <v>3.9174755522519633</v>
      </c>
    </row>
    <row r="48" spans="1:21">
      <c r="A48" s="156"/>
      <c r="B48" s="161">
        <v>2015</v>
      </c>
      <c r="C48" s="160">
        <v>94.905652619428551</v>
      </c>
      <c r="D48" s="77"/>
      <c r="E48" s="26">
        <f t="shared" si="3"/>
        <v>2020</v>
      </c>
      <c r="F48" s="26">
        <f t="shared" si="4"/>
        <v>10</v>
      </c>
      <c r="G48" s="165">
        <v>44105</v>
      </c>
      <c r="H48" s="26" t="s">
        <v>169</v>
      </c>
      <c r="I48" s="26"/>
      <c r="J48" s="166">
        <v>3.2873073488611984</v>
      </c>
      <c r="K48" s="166">
        <v>0.17129999999999992</v>
      </c>
      <c r="L48" s="166">
        <v>3.4586073488611984</v>
      </c>
      <c r="M48" s="166">
        <v>3.2873073488611984</v>
      </c>
      <c r="N48" s="166">
        <v>1.0058187458141103</v>
      </c>
      <c r="O48" s="166">
        <v>4.2931260946753085</v>
      </c>
      <c r="P48" s="166">
        <v>3.6364078646862978</v>
      </c>
      <c r="Q48" s="166">
        <v>0.46818750000000003</v>
      </c>
      <c r="R48" s="166">
        <v>4.1045953646862978</v>
      </c>
      <c r="S48" s="26"/>
      <c r="T48" s="167">
        <f t="shared" si="5"/>
        <v>3.4036741874695644</v>
      </c>
      <c r="U48" s="167">
        <f t="shared" si="6"/>
        <v>3.952109602740935</v>
      </c>
    </row>
    <row r="49" spans="1:21">
      <c r="A49" s="156"/>
      <c r="B49" s="161">
        <v>2016</v>
      </c>
      <c r="C49" s="160">
        <v>95.942000572989414</v>
      </c>
      <c r="D49" s="77"/>
      <c r="E49" s="26">
        <f t="shared" si="3"/>
        <v>2020</v>
      </c>
      <c r="F49" s="26">
        <f t="shared" si="4"/>
        <v>11</v>
      </c>
      <c r="G49" s="165">
        <v>44136</v>
      </c>
      <c r="H49" s="26" t="s">
        <v>170</v>
      </c>
      <c r="I49" s="26"/>
      <c r="J49" s="166">
        <v>3.2273720529565004</v>
      </c>
      <c r="K49" s="166">
        <v>0.17129999999999992</v>
      </c>
      <c r="L49" s="166">
        <v>3.3986720529565004</v>
      </c>
      <c r="M49" s="166">
        <v>3.2273720529565004</v>
      </c>
      <c r="N49" s="166">
        <v>1.0058187458141103</v>
      </c>
      <c r="O49" s="166">
        <v>4.233190798770611</v>
      </c>
      <c r="P49" s="166">
        <v>3.5727010532123731</v>
      </c>
      <c r="Q49" s="166">
        <v>0.46818750000000003</v>
      </c>
      <c r="R49" s="166">
        <v>4.0408885532123735</v>
      </c>
      <c r="S49" s="26"/>
      <c r="T49" s="167">
        <f t="shared" si="5"/>
        <v>3.342481719708458</v>
      </c>
      <c r="U49" s="167">
        <f t="shared" si="6"/>
        <v>3.8909171349798286</v>
      </c>
    </row>
    <row r="50" spans="1:21">
      <c r="A50" s="156"/>
      <c r="B50" s="161">
        <v>2017</v>
      </c>
      <c r="C50" s="160">
        <v>97.764949529537034</v>
      </c>
      <c r="D50" s="77"/>
      <c r="E50" s="26">
        <f t="shared" si="3"/>
        <v>2020</v>
      </c>
      <c r="F50" s="26">
        <f t="shared" si="4"/>
        <v>12</v>
      </c>
      <c r="G50" s="165">
        <v>44166</v>
      </c>
      <c r="H50" s="26" t="s">
        <v>171</v>
      </c>
      <c r="I50" s="26"/>
      <c r="J50" s="166">
        <v>3.5686811358479824</v>
      </c>
      <c r="K50" s="166">
        <v>0.17129999999999992</v>
      </c>
      <c r="L50" s="166">
        <v>3.7399811358479824</v>
      </c>
      <c r="M50" s="166">
        <v>3.5686811358479824</v>
      </c>
      <c r="N50" s="166">
        <v>1.0058187458141103</v>
      </c>
      <c r="O50" s="166">
        <v>4.574499881662093</v>
      </c>
      <c r="P50" s="166">
        <v>3.9533944240405603</v>
      </c>
      <c r="Q50" s="166">
        <v>0.46818750000000003</v>
      </c>
      <c r="R50" s="166">
        <v>4.4215819240405603</v>
      </c>
      <c r="S50" s="26"/>
      <c r="T50" s="167">
        <f t="shared" si="5"/>
        <v>3.6969188985788417</v>
      </c>
      <c r="U50" s="167">
        <f t="shared" si="6"/>
        <v>4.2453543138502114</v>
      </c>
    </row>
    <row r="51" spans="1:21">
      <c r="A51" s="156"/>
      <c r="B51" s="161">
        <v>2018</v>
      </c>
      <c r="C51" s="160">
        <v>100</v>
      </c>
      <c r="D51" s="77"/>
      <c r="E51" s="26">
        <f t="shared" si="3"/>
        <v>2021</v>
      </c>
      <c r="F51" s="26">
        <f t="shared" si="4"/>
        <v>1</v>
      </c>
      <c r="G51" s="165">
        <v>44197</v>
      </c>
      <c r="H51" s="26" t="s">
        <v>172</v>
      </c>
      <c r="I51" s="26"/>
      <c r="J51" s="166">
        <v>3.8019035072431135</v>
      </c>
      <c r="K51" s="166">
        <v>0.17129999999999992</v>
      </c>
      <c r="L51" s="166">
        <v>3.9732035072431136</v>
      </c>
      <c r="M51" s="166">
        <v>3.8019035072431135</v>
      </c>
      <c r="N51" s="166">
        <v>1.0058187458141103</v>
      </c>
      <c r="O51" s="166">
        <v>4.8077222530572241</v>
      </c>
      <c r="P51" s="166">
        <v>4.2148064728847165</v>
      </c>
      <c r="Q51" s="166">
        <v>0.46818750000000003</v>
      </c>
      <c r="R51" s="166">
        <v>4.6829939728847165</v>
      </c>
      <c r="S51" s="26"/>
      <c r="T51" s="167">
        <f t="shared" si="5"/>
        <v>3.9395378291236476</v>
      </c>
      <c r="U51" s="167">
        <f t="shared" si="6"/>
        <v>4.4879732443950182</v>
      </c>
    </row>
    <row r="52" spans="1:21">
      <c r="A52" s="156"/>
      <c r="B52" s="161">
        <v>2019</v>
      </c>
      <c r="C52" s="160">
        <v>102.38189925605992</v>
      </c>
      <c r="D52" s="77"/>
      <c r="E52" s="26">
        <f t="shared" si="3"/>
        <v>2021</v>
      </c>
      <c r="F52" s="26">
        <f t="shared" si="4"/>
        <v>2</v>
      </c>
      <c r="G52" s="165">
        <v>44228</v>
      </c>
      <c r="H52" s="26" t="s">
        <v>173</v>
      </c>
      <c r="I52" s="26"/>
      <c r="J52" s="166">
        <v>3.8817640219016658</v>
      </c>
      <c r="K52" s="166">
        <v>0.17129999999999992</v>
      </c>
      <c r="L52" s="166">
        <v>4.0530640219016654</v>
      </c>
      <c r="M52" s="166">
        <v>3.8817640219016658</v>
      </c>
      <c r="N52" s="166">
        <v>1.0058187458141103</v>
      </c>
      <c r="O52" s="166">
        <v>4.8875827677157764</v>
      </c>
      <c r="P52" s="166">
        <v>4.3064481244111263</v>
      </c>
      <c r="Q52" s="166">
        <v>0.46818750000000003</v>
      </c>
      <c r="R52" s="166">
        <v>4.7746356244111263</v>
      </c>
      <c r="S52" s="26"/>
      <c r="T52" s="167">
        <f t="shared" si="5"/>
        <v>4.0233253894048193</v>
      </c>
      <c r="U52" s="167">
        <f t="shared" si="6"/>
        <v>4.5717608046761891</v>
      </c>
    </row>
    <row r="53" spans="1:21">
      <c r="A53" s="156"/>
      <c r="B53" s="161">
        <v>2020</v>
      </c>
      <c r="C53" s="160">
        <v>104.37265739456689</v>
      </c>
      <c r="D53" s="77"/>
      <c r="E53" s="26">
        <f t="shared" si="3"/>
        <v>2021</v>
      </c>
      <c r="F53" s="26">
        <f t="shared" si="4"/>
        <v>3</v>
      </c>
      <c r="G53" s="165">
        <v>44256</v>
      </c>
      <c r="H53" s="26" t="s">
        <v>174</v>
      </c>
      <c r="I53" s="26"/>
      <c r="J53" s="166">
        <v>3.4683120139403041</v>
      </c>
      <c r="K53" s="166">
        <v>0.17129999999999992</v>
      </c>
      <c r="L53" s="166">
        <v>3.6396120139403041</v>
      </c>
      <c r="M53" s="166">
        <v>3.4683120139403041</v>
      </c>
      <c r="N53" s="166">
        <v>1.0058187458141103</v>
      </c>
      <c r="O53" s="166">
        <v>4.4741307597544147</v>
      </c>
      <c r="P53" s="166">
        <v>3.8505359879662411</v>
      </c>
      <c r="Q53" s="166">
        <v>0.46818750000000003</v>
      </c>
      <c r="R53" s="166">
        <v>4.3187234879662411</v>
      </c>
      <c r="S53" s="26"/>
      <c r="T53" s="167">
        <f t="shared" si="5"/>
        <v>3.5957200052822831</v>
      </c>
      <c r="U53" s="167">
        <f t="shared" si="6"/>
        <v>4.1441554205536528</v>
      </c>
    </row>
    <row r="54" spans="1:21">
      <c r="A54" s="156"/>
      <c r="B54" s="161">
        <v>2021</v>
      </c>
      <c r="C54" s="160">
        <v>106.44310726681304</v>
      </c>
      <c r="D54" s="77"/>
      <c r="E54" s="26">
        <f t="shared" si="3"/>
        <v>2021</v>
      </c>
      <c r="F54" s="26">
        <f t="shared" si="4"/>
        <v>4</v>
      </c>
      <c r="G54" s="165">
        <v>44287</v>
      </c>
      <c r="H54" s="26" t="s">
        <v>175</v>
      </c>
      <c r="I54" s="26"/>
      <c r="J54" s="166">
        <v>3.4646536034637361</v>
      </c>
      <c r="K54" s="166">
        <v>0.17129999999999992</v>
      </c>
      <c r="L54" s="166">
        <v>3.6359536034637361</v>
      </c>
      <c r="M54" s="166">
        <v>3.4646536034637361</v>
      </c>
      <c r="N54" s="166">
        <v>1.0058187458141103</v>
      </c>
      <c r="O54" s="166">
        <v>4.4704723492778466</v>
      </c>
      <c r="P54" s="166">
        <v>3.8492416904749973</v>
      </c>
      <c r="Q54" s="166">
        <v>0.46818750000000003</v>
      </c>
      <c r="R54" s="166">
        <v>4.3174291904749973</v>
      </c>
      <c r="S54" s="26"/>
      <c r="T54" s="167">
        <f t="shared" si="5"/>
        <v>3.5928496324674897</v>
      </c>
      <c r="U54" s="167">
        <f t="shared" si="6"/>
        <v>4.1412850477388607</v>
      </c>
    </row>
    <row r="55" spans="1:21">
      <c r="A55" s="156"/>
      <c r="B55" s="161">
        <v>2022</v>
      </c>
      <c r="C55" s="160">
        <v>108.58328319880168</v>
      </c>
      <c r="D55" s="77"/>
      <c r="E55" s="26">
        <f t="shared" si="3"/>
        <v>2021</v>
      </c>
      <c r="F55" s="26">
        <f t="shared" si="4"/>
        <v>5</v>
      </c>
      <c r="G55" s="165">
        <v>44317</v>
      </c>
      <c r="H55" s="26" t="s">
        <v>176</v>
      </c>
      <c r="I55" s="26"/>
      <c r="J55" s="166">
        <v>3.6462605103408534</v>
      </c>
      <c r="K55" s="166">
        <v>0.17129999999999992</v>
      </c>
      <c r="L55" s="166">
        <v>3.8175605103408534</v>
      </c>
      <c r="M55" s="166">
        <v>3.6462605103408534</v>
      </c>
      <c r="N55" s="166">
        <v>1.0058187458141103</v>
      </c>
      <c r="O55" s="166">
        <v>4.6520792561549635</v>
      </c>
      <c r="P55" s="166">
        <v>4.0539163941916376</v>
      </c>
      <c r="Q55" s="166">
        <v>0.46818750000000003</v>
      </c>
      <c r="R55" s="166">
        <v>4.5221038941916376</v>
      </c>
      <c r="S55" s="26"/>
      <c r="T55" s="167">
        <f t="shared" si="5"/>
        <v>3.7821458049577816</v>
      </c>
      <c r="U55" s="167">
        <f t="shared" si="6"/>
        <v>4.3305812202291518</v>
      </c>
    </row>
    <row r="56" spans="1:21">
      <c r="A56" s="156"/>
      <c r="B56" s="161">
        <v>2023</v>
      </c>
      <c r="C56" s="160">
        <v>110.67923194317183</v>
      </c>
      <c r="D56" s="77"/>
      <c r="E56" s="26">
        <f t="shared" si="3"/>
        <v>2021</v>
      </c>
      <c r="F56" s="26">
        <f t="shared" si="4"/>
        <v>6</v>
      </c>
      <c r="G56" s="165">
        <v>44348</v>
      </c>
      <c r="H56" s="26" t="s">
        <v>177</v>
      </c>
      <c r="I56" s="26"/>
      <c r="J56" s="166">
        <v>3.5200007992922022</v>
      </c>
      <c r="K56" s="166">
        <v>0.17129999999999992</v>
      </c>
      <c r="L56" s="166">
        <v>3.6913007992922022</v>
      </c>
      <c r="M56" s="166">
        <v>3.5200007992922022</v>
      </c>
      <c r="N56" s="166">
        <v>1.0058187458141103</v>
      </c>
      <c r="O56" s="166">
        <v>4.5258195451063123</v>
      </c>
      <c r="P56" s="166">
        <v>3.9003575368057937</v>
      </c>
      <c r="Q56" s="166">
        <v>0.46818750000000003</v>
      </c>
      <c r="R56" s="166">
        <v>4.3685450368057941</v>
      </c>
      <c r="S56" s="26"/>
      <c r="T56" s="167">
        <f t="shared" si="5"/>
        <v>3.6467863784633994</v>
      </c>
      <c r="U56" s="167">
        <f t="shared" si="6"/>
        <v>4.1952217937347696</v>
      </c>
    </row>
    <row r="57" spans="1:21">
      <c r="A57" s="156"/>
      <c r="B57" s="161">
        <v>2024</v>
      </c>
      <c r="C57" s="160">
        <v>112.82822181882932</v>
      </c>
      <c r="D57" s="77"/>
      <c r="E57" s="26">
        <f t="shared" si="3"/>
        <v>2021</v>
      </c>
      <c r="F57" s="26">
        <f t="shared" si="4"/>
        <v>7</v>
      </c>
      <c r="G57" s="165">
        <v>44378</v>
      </c>
      <c r="H57" s="26" t="s">
        <v>178</v>
      </c>
      <c r="I57" s="26"/>
      <c r="J57" s="166">
        <v>3.5544617081423717</v>
      </c>
      <c r="K57" s="166">
        <v>0.17129999999999992</v>
      </c>
      <c r="L57" s="166">
        <v>3.7257617081423717</v>
      </c>
      <c r="M57" s="166">
        <v>3.5544617081423717</v>
      </c>
      <c r="N57" s="166">
        <v>1.0058187458141103</v>
      </c>
      <c r="O57" s="166">
        <v>4.5602804539564818</v>
      </c>
      <c r="P57" s="166">
        <v>3.9386921000245478</v>
      </c>
      <c r="Q57" s="166">
        <v>0.46818750000000003</v>
      </c>
      <c r="R57" s="166">
        <v>4.4068796000245483</v>
      </c>
      <c r="S57" s="26"/>
      <c r="T57" s="167">
        <f t="shared" si="5"/>
        <v>3.6825385054364301</v>
      </c>
      <c r="U57" s="167">
        <f t="shared" si="6"/>
        <v>4.2309739207078003</v>
      </c>
    </row>
    <row r="58" spans="1:21">
      <c r="A58" s="156"/>
      <c r="B58" s="161">
        <v>2025</v>
      </c>
      <c r="C58" s="160">
        <v>114.9845316336194</v>
      </c>
      <c r="D58" s="77"/>
      <c r="E58" s="26">
        <f t="shared" si="3"/>
        <v>2021</v>
      </c>
      <c r="F58" s="26">
        <f t="shared" si="4"/>
        <v>8</v>
      </c>
      <c r="G58" s="165">
        <v>44409</v>
      </c>
      <c r="H58" s="26" t="s">
        <v>179</v>
      </c>
      <c r="I58" s="26"/>
      <c r="J58" s="166">
        <v>3.581026108816177</v>
      </c>
      <c r="K58" s="166">
        <v>0.17129999999999992</v>
      </c>
      <c r="L58" s="166">
        <v>3.752326108816177</v>
      </c>
      <c r="M58" s="166">
        <v>3.581026108816177</v>
      </c>
      <c r="N58" s="166">
        <v>1.0058187458141103</v>
      </c>
      <c r="O58" s="166">
        <v>4.5868448546302876</v>
      </c>
      <c r="P58" s="166">
        <v>3.9682791161151103</v>
      </c>
      <c r="Q58" s="166">
        <v>0.46818750000000003</v>
      </c>
      <c r="R58" s="166">
        <v>4.4364666161151103</v>
      </c>
      <c r="S58" s="26"/>
      <c r="T58" s="167">
        <f t="shared" si="5"/>
        <v>3.710110444582488</v>
      </c>
      <c r="U58" s="167">
        <f t="shared" si="6"/>
        <v>4.2585458598538581</v>
      </c>
    </row>
    <row r="59" spans="1:21">
      <c r="A59" s="156"/>
      <c r="B59" s="161">
        <v>2026</v>
      </c>
      <c r="C59" s="160">
        <v>117.16447599875951</v>
      </c>
      <c r="D59" s="77"/>
      <c r="E59" s="26">
        <f t="shared" si="3"/>
        <v>2021</v>
      </c>
      <c r="F59" s="26">
        <f t="shared" si="4"/>
        <v>9</v>
      </c>
      <c r="G59" s="165">
        <v>44440</v>
      </c>
      <c r="H59" s="26" t="s">
        <v>180</v>
      </c>
      <c r="I59" s="26"/>
      <c r="J59" s="166">
        <v>3.2621984357332465</v>
      </c>
      <c r="K59" s="166">
        <v>0.17129999999999992</v>
      </c>
      <c r="L59" s="166">
        <v>3.4334984357332465</v>
      </c>
      <c r="M59" s="166">
        <v>3.2621984357332465</v>
      </c>
      <c r="N59" s="166">
        <v>1.0058187458141103</v>
      </c>
      <c r="O59" s="166">
        <v>4.2680171815473571</v>
      </c>
      <c r="P59" s="166">
        <v>3.6151109351073467</v>
      </c>
      <c r="Q59" s="166">
        <v>0.46818750000000003</v>
      </c>
      <c r="R59" s="166">
        <v>4.0832984351073467</v>
      </c>
      <c r="S59" s="26"/>
      <c r="T59" s="167">
        <f t="shared" si="5"/>
        <v>3.3798359355246128</v>
      </c>
      <c r="U59" s="167">
        <f t="shared" si="6"/>
        <v>3.9282713507959834</v>
      </c>
    </row>
    <row r="60" spans="1:21">
      <c r="A60" s="156"/>
      <c r="B60" s="161">
        <v>2027</v>
      </c>
      <c r="C60" s="160">
        <v>119.4033077799138</v>
      </c>
      <c r="D60" s="77"/>
      <c r="E60" s="26">
        <f t="shared" si="3"/>
        <v>2021</v>
      </c>
      <c r="F60" s="26">
        <f t="shared" si="4"/>
        <v>10</v>
      </c>
      <c r="G60" s="165">
        <v>44470</v>
      </c>
      <c r="H60" s="26" t="s">
        <v>181</v>
      </c>
      <c r="I60" s="26"/>
      <c r="J60" s="166">
        <v>3.2930611912553269</v>
      </c>
      <c r="K60" s="166">
        <v>0.17129999999999992</v>
      </c>
      <c r="L60" s="166">
        <v>3.4643611912553269</v>
      </c>
      <c r="M60" s="166">
        <v>3.2930611912553269</v>
      </c>
      <c r="N60" s="166">
        <v>1.0058187458141103</v>
      </c>
      <c r="O60" s="166">
        <v>4.2988799370694375</v>
      </c>
      <c r="P60" s="166">
        <v>3.6494513765625149</v>
      </c>
      <c r="Q60" s="166">
        <v>0.46818750000000003</v>
      </c>
      <c r="R60" s="166">
        <v>4.1176388765625154</v>
      </c>
      <c r="S60" s="26"/>
      <c r="T60" s="167">
        <f t="shared" si="5"/>
        <v>3.4118579196910566</v>
      </c>
      <c r="U60" s="167">
        <f t="shared" si="6"/>
        <v>3.9602933349624272</v>
      </c>
    </row>
    <row r="61" spans="1:21">
      <c r="A61" s="156"/>
      <c r="B61" s="161">
        <v>2028</v>
      </c>
      <c r="C61" s="160">
        <v>121.68259722155703</v>
      </c>
      <c r="D61" s="77"/>
      <c r="E61" s="26">
        <f t="shared" si="3"/>
        <v>2021</v>
      </c>
      <c r="F61" s="26">
        <f t="shared" si="4"/>
        <v>11</v>
      </c>
      <c r="G61" s="165">
        <v>44501</v>
      </c>
      <c r="H61" s="26" t="s">
        <v>182</v>
      </c>
      <c r="I61" s="26"/>
      <c r="J61" s="166">
        <v>3.2312370022907029</v>
      </c>
      <c r="K61" s="166">
        <v>0.17129999999999992</v>
      </c>
      <c r="L61" s="166">
        <v>3.4025370022907029</v>
      </c>
      <c r="M61" s="166">
        <v>3.2312370022907029</v>
      </c>
      <c r="N61" s="166">
        <v>1.0058187458141103</v>
      </c>
      <c r="O61" s="166">
        <v>4.2370557481048134</v>
      </c>
      <c r="P61" s="166">
        <v>3.5810725469121425</v>
      </c>
      <c r="Q61" s="166">
        <v>0.46818750000000003</v>
      </c>
      <c r="R61" s="166">
        <v>4.0492600469121429</v>
      </c>
      <c r="S61" s="26"/>
      <c r="T61" s="167">
        <f t="shared" si="5"/>
        <v>3.3478488504978494</v>
      </c>
      <c r="U61" s="167">
        <f t="shared" si="6"/>
        <v>3.89628426576922</v>
      </c>
    </row>
    <row r="62" spans="1:21">
      <c r="A62" s="156"/>
      <c r="B62" s="161">
        <v>2029</v>
      </c>
      <c r="C62" s="160">
        <v>124.02953216221275</v>
      </c>
      <c r="D62" s="77"/>
      <c r="E62" s="26">
        <f t="shared" si="3"/>
        <v>2021</v>
      </c>
      <c r="F62" s="26">
        <f t="shared" si="4"/>
        <v>12</v>
      </c>
      <c r="G62" s="165">
        <v>44531</v>
      </c>
      <c r="H62" s="26" t="s">
        <v>183</v>
      </c>
      <c r="I62" s="26"/>
      <c r="J62" s="166">
        <v>3.5709845567655214</v>
      </c>
      <c r="K62" s="166">
        <v>0.17129999999999992</v>
      </c>
      <c r="L62" s="166">
        <v>3.7422845567655214</v>
      </c>
      <c r="M62" s="166">
        <v>3.5709845567655214</v>
      </c>
      <c r="N62" s="166">
        <v>1.0058187458141103</v>
      </c>
      <c r="O62" s="166">
        <v>4.5768033025796315</v>
      </c>
      <c r="P62" s="166">
        <v>3.9577540336695427</v>
      </c>
      <c r="Q62" s="166">
        <v>0.46818750000000003</v>
      </c>
      <c r="R62" s="166">
        <v>4.4259415336695431</v>
      </c>
      <c r="S62" s="26"/>
      <c r="T62" s="167">
        <f t="shared" si="5"/>
        <v>3.6999077157335285</v>
      </c>
      <c r="U62" s="167">
        <f t="shared" si="6"/>
        <v>4.2483431310048987</v>
      </c>
    </row>
    <row r="63" spans="1:21">
      <c r="A63" s="156"/>
      <c r="B63" s="161">
        <v>2030</v>
      </c>
      <c r="C63" s="160">
        <v>126.39826207002994</v>
      </c>
      <c r="D63" s="77"/>
      <c r="E63" s="26">
        <f t="shared" si="3"/>
        <v>2022</v>
      </c>
      <c r="F63" s="26">
        <f t="shared" si="4"/>
        <v>1</v>
      </c>
      <c r="G63" s="165">
        <v>44562</v>
      </c>
      <c r="H63" s="26" t="s">
        <v>184</v>
      </c>
      <c r="I63" s="26"/>
      <c r="J63" s="166">
        <v>3.8022609756055608</v>
      </c>
      <c r="K63" s="166">
        <v>0.17129999999999992</v>
      </c>
      <c r="L63" s="166">
        <v>3.9735609756055608</v>
      </c>
      <c r="M63" s="166">
        <v>3.8022609756055608</v>
      </c>
      <c r="N63" s="166">
        <v>1.0058187458141103</v>
      </c>
      <c r="O63" s="166">
        <v>4.8080797214196709</v>
      </c>
      <c r="P63" s="166">
        <v>4.214240052787404</v>
      </c>
      <c r="Q63" s="166">
        <v>0.46818750000000003</v>
      </c>
      <c r="R63" s="166">
        <v>4.682427552787404</v>
      </c>
      <c r="S63" s="26"/>
      <c r="T63" s="167">
        <f t="shared" si="5"/>
        <v>3.9395873346661752</v>
      </c>
      <c r="U63" s="167">
        <f t="shared" si="6"/>
        <v>4.4880227499375449</v>
      </c>
    </row>
    <row r="64" spans="1:21">
      <c r="A64" s="156"/>
      <c r="B64" s="161">
        <v>2031</v>
      </c>
      <c r="C64" s="160">
        <v>128.76704757589178</v>
      </c>
      <c r="D64" s="77"/>
      <c r="E64" s="26">
        <f t="shared" si="3"/>
        <v>2022</v>
      </c>
      <c r="F64" s="26">
        <f t="shared" si="4"/>
        <v>2</v>
      </c>
      <c r="G64" s="165">
        <v>44593</v>
      </c>
      <c r="H64" s="26" t="s">
        <v>185</v>
      </c>
      <c r="I64" s="26"/>
      <c r="J64" s="166">
        <v>3.8799910621143017</v>
      </c>
      <c r="K64" s="166">
        <v>0.17129999999999992</v>
      </c>
      <c r="L64" s="166">
        <v>4.0512910621143012</v>
      </c>
      <c r="M64" s="166">
        <v>3.8799910621143017</v>
      </c>
      <c r="N64" s="166">
        <v>1.0058187458141103</v>
      </c>
      <c r="O64" s="166">
        <v>4.8858098079284122</v>
      </c>
      <c r="P64" s="166">
        <v>4.3005558388490464</v>
      </c>
      <c r="Q64" s="166">
        <v>0.46818750000000003</v>
      </c>
      <c r="R64" s="166">
        <v>4.7687433388490463</v>
      </c>
      <c r="S64" s="26"/>
      <c r="T64" s="167">
        <f t="shared" si="5"/>
        <v>4.0201793210258829</v>
      </c>
      <c r="U64" s="167">
        <f t="shared" si="6"/>
        <v>4.5686147362972527</v>
      </c>
    </row>
    <row r="65" spans="1:21">
      <c r="A65" s="156"/>
      <c r="B65" s="161">
        <v>2032</v>
      </c>
      <c r="C65" s="160">
        <v>131.1328029199048</v>
      </c>
      <c r="D65" s="77"/>
      <c r="E65" s="26">
        <f t="shared" si="3"/>
        <v>2022</v>
      </c>
      <c r="F65" s="26">
        <f t="shared" si="4"/>
        <v>3</v>
      </c>
      <c r="G65" s="165">
        <v>44621</v>
      </c>
      <c r="H65" s="26" t="s">
        <v>186</v>
      </c>
      <c r="I65" s="26"/>
      <c r="J65" s="166">
        <v>3.4648199800035946</v>
      </c>
      <c r="K65" s="166">
        <v>0.17129999999999992</v>
      </c>
      <c r="L65" s="166">
        <v>3.6361199800035946</v>
      </c>
      <c r="M65" s="166">
        <v>3.4648199800035946</v>
      </c>
      <c r="N65" s="166">
        <v>1.0058187458141103</v>
      </c>
      <c r="O65" s="166">
        <v>4.4706387258177047</v>
      </c>
      <c r="P65" s="166">
        <v>3.8405290643742558</v>
      </c>
      <c r="Q65" s="166">
        <v>0.46818750000000003</v>
      </c>
      <c r="R65" s="166">
        <v>4.3087165643742562</v>
      </c>
      <c r="S65" s="26"/>
      <c r="T65" s="167">
        <f t="shared" si="5"/>
        <v>3.5900563414604818</v>
      </c>
      <c r="U65" s="167">
        <f t="shared" si="6"/>
        <v>4.1384917567318515</v>
      </c>
    </row>
    <row r="66" spans="1:21">
      <c r="A66" s="156"/>
      <c r="B66" s="161">
        <v>2033</v>
      </c>
      <c r="C66" s="160">
        <v>133.53803417829636</v>
      </c>
      <c r="D66" s="77"/>
      <c r="E66" s="26">
        <f t="shared" si="3"/>
        <v>2022</v>
      </c>
      <c r="F66" s="26">
        <f t="shared" si="4"/>
        <v>4</v>
      </c>
      <c r="G66" s="165">
        <v>44652</v>
      </c>
      <c r="H66" s="26" t="s">
        <v>187</v>
      </c>
      <c r="I66" s="26"/>
      <c r="J66" s="166">
        <v>3.4592616521080308</v>
      </c>
      <c r="K66" s="166">
        <v>0.17129999999999992</v>
      </c>
      <c r="L66" s="166">
        <v>3.6305616521080308</v>
      </c>
      <c r="M66" s="166">
        <v>3.4592616521080308</v>
      </c>
      <c r="N66" s="166">
        <v>1.0058187458141103</v>
      </c>
      <c r="O66" s="166">
        <v>4.465080397922141</v>
      </c>
      <c r="P66" s="166">
        <v>3.8345138107366661</v>
      </c>
      <c r="Q66" s="166">
        <v>0.46818750000000003</v>
      </c>
      <c r="R66" s="166">
        <v>4.3027013107366665</v>
      </c>
      <c r="S66" s="26"/>
      <c r="T66" s="167">
        <f t="shared" si="5"/>
        <v>3.5843457049842424</v>
      </c>
      <c r="U66" s="167">
        <f t="shared" si="6"/>
        <v>4.1327811202556122</v>
      </c>
    </row>
    <row r="67" spans="1:21">
      <c r="A67" s="156"/>
      <c r="B67" s="161">
        <v>2034</v>
      </c>
      <c r="C67" s="160">
        <v>135.95701854289973</v>
      </c>
      <c r="D67" s="77"/>
      <c r="E67" s="26">
        <f t="shared" si="3"/>
        <v>2022</v>
      </c>
      <c r="F67" s="26">
        <f t="shared" si="4"/>
        <v>5</v>
      </c>
      <c r="G67" s="165">
        <v>44682</v>
      </c>
      <c r="H67" s="26" t="s">
        <v>188</v>
      </c>
      <c r="I67" s="26"/>
      <c r="J67" s="166">
        <v>3.6385849642647856</v>
      </c>
      <c r="K67" s="166">
        <v>0.17129999999999992</v>
      </c>
      <c r="L67" s="166">
        <v>3.8098849642647856</v>
      </c>
      <c r="M67" s="166">
        <v>3.6385849642647856</v>
      </c>
      <c r="N67" s="166">
        <v>1.0058187458141103</v>
      </c>
      <c r="O67" s="166">
        <v>4.6444037100788957</v>
      </c>
      <c r="P67" s="166">
        <v>4.0334430077512078</v>
      </c>
      <c r="Q67" s="166">
        <v>0.46818750000000003</v>
      </c>
      <c r="R67" s="166">
        <v>4.5016305077512078</v>
      </c>
      <c r="S67" s="26"/>
      <c r="T67" s="167">
        <f t="shared" si="5"/>
        <v>3.7702043120935933</v>
      </c>
      <c r="U67" s="167">
        <f t="shared" si="6"/>
        <v>4.318639727364963</v>
      </c>
    </row>
    <row r="68" spans="1:21">
      <c r="A68" s="156"/>
      <c r="B68" s="161">
        <v>2035</v>
      </c>
      <c r="C68" s="160">
        <v>138.40099284381583</v>
      </c>
      <c r="D68" s="77"/>
      <c r="E68" s="26">
        <f t="shared" ref="E68:E131" si="9">YEAR(G68)</f>
        <v>2022</v>
      </c>
      <c r="F68" s="26">
        <f t="shared" ref="F68:F131" si="10">MONTH(G68)</f>
        <v>6</v>
      </c>
      <c r="G68" s="165">
        <v>44713</v>
      </c>
      <c r="H68" s="26" t="s">
        <v>189</v>
      </c>
      <c r="I68" s="26"/>
      <c r="J68" s="166">
        <v>3.528633752113262</v>
      </c>
      <c r="K68" s="166">
        <v>0.17129999999999992</v>
      </c>
      <c r="L68" s="166">
        <v>3.699933752113262</v>
      </c>
      <c r="M68" s="166">
        <v>3.528633752113262</v>
      </c>
      <c r="N68" s="166">
        <v>1.0058187458141103</v>
      </c>
      <c r="O68" s="166">
        <v>4.5344524979273721</v>
      </c>
      <c r="P68" s="166">
        <v>3.9255856417251058</v>
      </c>
      <c r="Q68" s="166">
        <v>0.46818750000000003</v>
      </c>
      <c r="R68" s="166">
        <v>4.3937731417251058</v>
      </c>
      <c r="S68" s="26"/>
      <c r="T68" s="167">
        <f t="shared" ref="T68:T131" si="11">AVERAGE(J68,M68,P68)</f>
        <v>3.6609510486505434</v>
      </c>
      <c r="U68" s="167">
        <f t="shared" ref="U68:U131" si="12">AVERAGE(L68,O68,R68)</f>
        <v>4.2093864639219136</v>
      </c>
    </row>
    <row r="69" spans="1:21">
      <c r="A69" s="156"/>
      <c r="B69" s="161">
        <v>2036</v>
      </c>
      <c r="C69" s="160">
        <v>140.85811296110637</v>
      </c>
      <c r="D69" s="77"/>
      <c r="E69" s="26">
        <f t="shared" si="9"/>
        <v>2022</v>
      </c>
      <c r="F69" s="26">
        <f t="shared" si="10"/>
        <v>7</v>
      </c>
      <c r="G69" s="165">
        <v>44743</v>
      </c>
      <c r="H69" s="26" t="s">
        <v>190</v>
      </c>
      <c r="I69" s="26"/>
      <c r="J69" s="166">
        <v>3.5642493126893355</v>
      </c>
      <c r="K69" s="166">
        <v>0.17129999999999992</v>
      </c>
      <c r="L69" s="166">
        <v>3.7355493126893355</v>
      </c>
      <c r="M69" s="166">
        <v>3.5642493126893355</v>
      </c>
      <c r="N69" s="166">
        <v>1.0058187458141103</v>
      </c>
      <c r="O69" s="166">
        <v>4.5700680585034457</v>
      </c>
      <c r="P69" s="166">
        <v>3.9676880048494305</v>
      </c>
      <c r="Q69" s="166">
        <v>0.46818750000000003</v>
      </c>
      <c r="R69" s="166">
        <v>4.4358755048494309</v>
      </c>
      <c r="S69" s="26"/>
      <c r="T69" s="167">
        <f t="shared" si="11"/>
        <v>3.6987288767427007</v>
      </c>
      <c r="U69" s="167">
        <f t="shared" si="12"/>
        <v>4.2471642920140704</v>
      </c>
    </row>
    <row r="70" spans="1:21">
      <c r="A70" s="156"/>
      <c r="B70" s="161">
        <v>2037</v>
      </c>
      <c r="C70" s="160">
        <v>143.3482269130551</v>
      </c>
      <c r="D70" s="77"/>
      <c r="E70" s="26">
        <f t="shared" si="9"/>
        <v>2022</v>
      </c>
      <c r="F70" s="26">
        <f t="shared" si="10"/>
        <v>8</v>
      </c>
      <c r="G70" s="165">
        <v>44774</v>
      </c>
      <c r="H70" s="26" t="s">
        <v>191</v>
      </c>
      <c r="I70" s="26"/>
      <c r="J70" s="166">
        <v>3.5919648780181386</v>
      </c>
      <c r="K70" s="166">
        <v>0.17129999999999992</v>
      </c>
      <c r="L70" s="166">
        <v>3.7632648780181386</v>
      </c>
      <c r="M70" s="166">
        <v>3.5919648780181386</v>
      </c>
      <c r="N70" s="166">
        <v>1.0058187458141103</v>
      </c>
      <c r="O70" s="166">
        <v>4.5977836238322487</v>
      </c>
      <c r="P70" s="166">
        <v>4.0010384704661224</v>
      </c>
      <c r="Q70" s="166">
        <v>0.46818750000000003</v>
      </c>
      <c r="R70" s="166">
        <v>4.4692259704661224</v>
      </c>
      <c r="S70" s="26"/>
      <c r="T70" s="167">
        <f t="shared" si="11"/>
        <v>3.7283227421674661</v>
      </c>
      <c r="U70" s="167">
        <f t="shared" si="12"/>
        <v>4.2767581574388371</v>
      </c>
    </row>
    <row r="71" spans="1:21">
      <c r="A71" s="156"/>
      <c r="B71" s="161">
        <v>2038</v>
      </c>
      <c r="C71" s="160">
        <v>145.87498673210007</v>
      </c>
      <c r="D71" s="77"/>
      <c r="E71" s="26">
        <f t="shared" si="9"/>
        <v>2022</v>
      </c>
      <c r="F71" s="26">
        <f t="shared" si="10"/>
        <v>9</v>
      </c>
      <c r="G71" s="165">
        <v>44805</v>
      </c>
      <c r="H71" s="26" t="s">
        <v>192</v>
      </c>
      <c r="I71" s="26"/>
      <c r="J71" s="166">
        <v>3.2731452316034924</v>
      </c>
      <c r="K71" s="166">
        <v>0.17129999999999992</v>
      </c>
      <c r="L71" s="166">
        <v>3.4444452316034924</v>
      </c>
      <c r="M71" s="166">
        <v>3.2731452316034924</v>
      </c>
      <c r="N71" s="166">
        <v>1.0058187458141103</v>
      </c>
      <c r="O71" s="166">
        <v>4.2789639774176029</v>
      </c>
      <c r="P71" s="166">
        <v>3.6481842669399889</v>
      </c>
      <c r="Q71" s="166">
        <v>0.46818750000000003</v>
      </c>
      <c r="R71" s="166">
        <v>4.1163717669399889</v>
      </c>
      <c r="S71" s="26"/>
      <c r="T71" s="167">
        <f t="shared" si="11"/>
        <v>3.3981582433823245</v>
      </c>
      <c r="U71" s="167">
        <f t="shared" si="12"/>
        <v>3.9465936586536947</v>
      </c>
    </row>
    <row r="72" spans="1:21">
      <c r="A72" s="156"/>
      <c r="B72" s="161">
        <v>2039</v>
      </c>
      <c r="C72" s="160">
        <v>148.39906075351306</v>
      </c>
      <c r="D72" s="77"/>
      <c r="E72" s="26">
        <f t="shared" si="9"/>
        <v>2022</v>
      </c>
      <c r="F72" s="26">
        <f t="shared" si="10"/>
        <v>10</v>
      </c>
      <c r="G72" s="165">
        <v>44835</v>
      </c>
      <c r="H72" s="26" t="s">
        <v>193</v>
      </c>
      <c r="I72" s="26"/>
      <c r="J72" s="166">
        <v>3.3051026674792405</v>
      </c>
      <c r="K72" s="166">
        <v>0.17129999999999992</v>
      </c>
      <c r="L72" s="166">
        <v>3.4764026674792405</v>
      </c>
      <c r="M72" s="166">
        <v>3.3051026674792405</v>
      </c>
      <c r="N72" s="166">
        <v>1.0058187458141103</v>
      </c>
      <c r="O72" s="166">
        <v>4.3109214132933511</v>
      </c>
      <c r="P72" s="166">
        <v>3.6860984438171571</v>
      </c>
      <c r="Q72" s="166">
        <v>0.46818750000000003</v>
      </c>
      <c r="R72" s="166">
        <v>4.1542859438171575</v>
      </c>
      <c r="S72" s="26"/>
      <c r="T72" s="167">
        <f t="shared" si="11"/>
        <v>3.4321012595918794</v>
      </c>
      <c r="U72" s="167">
        <f t="shared" si="12"/>
        <v>3.98053667486325</v>
      </c>
    </row>
    <row r="73" spans="1:21">
      <c r="A73" s="156"/>
      <c r="B73" s="161">
        <v>2040</v>
      </c>
      <c r="C73" s="160">
        <v>150.92876901120502</v>
      </c>
      <c r="D73" s="77"/>
      <c r="E73" s="26">
        <f t="shared" si="9"/>
        <v>2022</v>
      </c>
      <c r="F73" s="26">
        <f t="shared" si="10"/>
        <v>11</v>
      </c>
      <c r="G73" s="165">
        <v>44866</v>
      </c>
      <c r="H73" s="26" t="s">
        <v>194</v>
      </c>
      <c r="I73" s="26"/>
      <c r="J73" s="166">
        <v>3.2440248148057775</v>
      </c>
      <c r="K73" s="166">
        <v>0.17129999999999992</v>
      </c>
      <c r="L73" s="166">
        <v>3.4153248148057775</v>
      </c>
      <c r="M73" s="166">
        <v>3.2440248148057775</v>
      </c>
      <c r="N73" s="166">
        <v>1.0058187458141103</v>
      </c>
      <c r="O73" s="166">
        <v>4.2498435606198877</v>
      </c>
      <c r="P73" s="166">
        <v>3.6202308738244224</v>
      </c>
      <c r="Q73" s="166">
        <v>0.46818750000000003</v>
      </c>
      <c r="R73" s="166">
        <v>4.0884183738244229</v>
      </c>
      <c r="S73" s="26"/>
      <c r="T73" s="167">
        <f t="shared" si="11"/>
        <v>3.3694268344786593</v>
      </c>
      <c r="U73" s="167">
        <f t="shared" si="12"/>
        <v>3.9178622497500295</v>
      </c>
    </row>
    <row r="74" spans="1:21">
      <c r="A74" s="156"/>
      <c r="B74" s="161">
        <v>2041</v>
      </c>
      <c r="C74" s="160">
        <v>153.46401373817156</v>
      </c>
      <c r="D74" s="77"/>
      <c r="E74" s="26">
        <f t="shared" si="9"/>
        <v>2022</v>
      </c>
      <c r="F74" s="26">
        <f t="shared" si="10"/>
        <v>12</v>
      </c>
      <c r="G74" s="165">
        <v>44896</v>
      </c>
      <c r="H74" s="26" t="s">
        <v>195</v>
      </c>
      <c r="I74" s="26"/>
      <c r="J74" s="166">
        <v>3.5861914719521288</v>
      </c>
      <c r="K74" s="166">
        <v>0.17129999999999992</v>
      </c>
      <c r="L74" s="166">
        <v>3.7574914719521288</v>
      </c>
      <c r="M74" s="166">
        <v>3.5861914719521288</v>
      </c>
      <c r="N74" s="166">
        <v>1.0058187458141103</v>
      </c>
      <c r="O74" s="166">
        <v>4.592010217766239</v>
      </c>
      <c r="P74" s="166">
        <v>4.0045649337797302</v>
      </c>
      <c r="Q74" s="166">
        <v>0.46818750000000003</v>
      </c>
      <c r="R74" s="166">
        <v>4.4727524337797302</v>
      </c>
      <c r="S74" s="26"/>
      <c r="T74" s="167">
        <f t="shared" si="11"/>
        <v>3.7256492925613292</v>
      </c>
      <c r="U74" s="167">
        <f t="shared" si="12"/>
        <v>4.2740847078326993</v>
      </c>
    </row>
    <row r="75" spans="1:21">
      <c r="A75" s="156"/>
      <c r="B75" s="161">
        <v>2042</v>
      </c>
      <c r="C75" s="160">
        <v>155.97407653581939</v>
      </c>
      <c r="D75" s="77"/>
      <c r="E75" s="26">
        <f t="shared" si="9"/>
        <v>2023</v>
      </c>
      <c r="F75" s="26">
        <f t="shared" si="10"/>
        <v>1</v>
      </c>
      <c r="G75" s="165">
        <v>44927</v>
      </c>
      <c r="H75" s="26" t="s">
        <v>196</v>
      </c>
      <c r="I75" s="26"/>
      <c r="J75" s="166">
        <v>3.819596774536687</v>
      </c>
      <c r="K75" s="166">
        <v>0.17129999999999992</v>
      </c>
      <c r="L75" s="166">
        <v>3.990896774536687</v>
      </c>
      <c r="M75" s="166">
        <v>3.819596774536687</v>
      </c>
      <c r="N75" s="166">
        <v>1.0058187458141103</v>
      </c>
      <c r="O75" s="166">
        <v>4.8254155203507976</v>
      </c>
      <c r="P75" s="166">
        <v>4.2678465226335591</v>
      </c>
      <c r="Q75" s="166">
        <v>0.46818750000000003</v>
      </c>
      <c r="R75" s="166">
        <v>4.7360340226335591</v>
      </c>
      <c r="S75" s="26"/>
      <c r="T75" s="167">
        <f t="shared" si="11"/>
        <v>3.9690133572356445</v>
      </c>
      <c r="U75" s="167">
        <f t="shared" si="12"/>
        <v>4.5174487725070147</v>
      </c>
    </row>
    <row r="76" spans="1:21">
      <c r="A76" s="156"/>
      <c r="B76" s="161">
        <v>2043</v>
      </c>
      <c r="C76" s="160">
        <v>158.46551959223174</v>
      </c>
      <c r="D76" s="77"/>
      <c r="E76" s="26">
        <f t="shared" si="9"/>
        <v>2023</v>
      </c>
      <c r="F76" s="26">
        <f t="shared" si="10"/>
        <v>2</v>
      </c>
      <c r="G76" s="165">
        <v>44958</v>
      </c>
      <c r="H76" s="26" t="s">
        <v>197</v>
      </c>
      <c r="I76" s="26"/>
      <c r="J76" s="166">
        <v>3.8988485214220123</v>
      </c>
      <c r="K76" s="166">
        <v>0.17129999999999992</v>
      </c>
      <c r="L76" s="166">
        <v>4.0701485214220119</v>
      </c>
      <c r="M76" s="166">
        <v>3.8988485214220123</v>
      </c>
      <c r="N76" s="166">
        <v>1.0058187458141103</v>
      </c>
      <c r="O76" s="166">
        <v>4.9046672672361229</v>
      </c>
      <c r="P76" s="166">
        <v>4.3590985648762652</v>
      </c>
      <c r="Q76" s="166">
        <v>0.46818750000000003</v>
      </c>
      <c r="R76" s="166">
        <v>4.8272860648762652</v>
      </c>
      <c r="S76" s="26"/>
      <c r="T76" s="167">
        <f t="shared" si="11"/>
        <v>4.0522652025734303</v>
      </c>
      <c r="U76" s="167">
        <f t="shared" si="12"/>
        <v>4.6007006178448</v>
      </c>
    </row>
    <row r="77" spans="1:21">
      <c r="A77" s="156"/>
      <c r="B77" s="161">
        <v>2044</v>
      </c>
      <c r="C77" s="160">
        <v>160.93119791441072</v>
      </c>
      <c r="D77" s="77"/>
      <c r="E77" s="26">
        <f t="shared" si="9"/>
        <v>2023</v>
      </c>
      <c r="F77" s="26">
        <f t="shared" si="10"/>
        <v>3</v>
      </c>
      <c r="G77" s="165">
        <v>44986</v>
      </c>
      <c r="H77" s="26" t="s">
        <v>198</v>
      </c>
      <c r="I77" s="26"/>
      <c r="J77" s="166">
        <v>3.482701882420006</v>
      </c>
      <c r="K77" s="166">
        <v>0.17129999999999992</v>
      </c>
      <c r="L77" s="166">
        <v>3.654001882420006</v>
      </c>
      <c r="M77" s="166">
        <v>3.482701882420006</v>
      </c>
      <c r="N77" s="166">
        <v>1.0058187458141103</v>
      </c>
      <c r="O77" s="166">
        <v>4.4885206282341166</v>
      </c>
      <c r="P77" s="166">
        <v>3.8962366092262424</v>
      </c>
      <c r="Q77" s="166">
        <v>0.46818750000000003</v>
      </c>
      <c r="R77" s="166">
        <v>4.3644241092262428</v>
      </c>
      <c r="S77" s="26"/>
      <c r="T77" s="167">
        <f t="shared" si="11"/>
        <v>3.6205467913554181</v>
      </c>
      <c r="U77" s="167">
        <f t="shared" si="12"/>
        <v>4.1689822066267892</v>
      </c>
    </row>
    <row r="78" spans="1:21">
      <c r="A78" s="156"/>
      <c r="B78" s="161">
        <v>2045</v>
      </c>
      <c r="C78" s="160">
        <v>163.38758461311616</v>
      </c>
      <c r="D78" s="77"/>
      <c r="E78" s="26">
        <f t="shared" si="9"/>
        <v>2023</v>
      </c>
      <c r="F78" s="26">
        <f t="shared" si="10"/>
        <v>4</v>
      </c>
      <c r="G78" s="165">
        <v>45017</v>
      </c>
      <c r="H78" s="26" t="s">
        <v>199</v>
      </c>
      <c r="I78" s="26"/>
      <c r="J78" s="166">
        <v>3.4781553339707698</v>
      </c>
      <c r="K78" s="166">
        <v>0.17129999999999992</v>
      </c>
      <c r="L78" s="166">
        <v>3.6494553339707698</v>
      </c>
      <c r="M78" s="166">
        <v>3.4781553339707698</v>
      </c>
      <c r="N78" s="166">
        <v>1.0058187458141103</v>
      </c>
      <c r="O78" s="166">
        <v>4.4839740797848799</v>
      </c>
      <c r="P78" s="166">
        <v>3.89355519171467</v>
      </c>
      <c r="Q78" s="166">
        <v>0.46818750000000003</v>
      </c>
      <c r="R78" s="166">
        <v>4.36174269171467</v>
      </c>
      <c r="S78" s="26"/>
      <c r="T78" s="167">
        <f t="shared" si="11"/>
        <v>3.6166219532187363</v>
      </c>
      <c r="U78" s="167">
        <f t="shared" si="12"/>
        <v>4.1650573684901069</v>
      </c>
    </row>
    <row r="79" spans="1:21">
      <c r="A79" s="156"/>
      <c r="B79" s="161">
        <v>2046</v>
      </c>
      <c r="C79" s="160">
        <v>165.79615767727108</v>
      </c>
      <c r="D79" s="77"/>
      <c r="E79" s="26">
        <f t="shared" si="9"/>
        <v>2023</v>
      </c>
      <c r="F79" s="26">
        <f t="shared" si="10"/>
        <v>5</v>
      </c>
      <c r="G79" s="165">
        <v>45047</v>
      </c>
      <c r="H79" s="26" t="s">
        <v>200</v>
      </c>
      <c r="I79" s="26"/>
      <c r="J79" s="166">
        <v>3.6595523529192975</v>
      </c>
      <c r="K79" s="166">
        <v>0.17129999999999992</v>
      </c>
      <c r="L79" s="166">
        <v>3.8308523529192975</v>
      </c>
      <c r="M79" s="166">
        <v>3.6595523529192975</v>
      </c>
      <c r="N79" s="166">
        <v>1.0058187458141103</v>
      </c>
      <c r="O79" s="166">
        <v>4.6653710987334076</v>
      </c>
      <c r="P79" s="166">
        <v>4.0991452820873109</v>
      </c>
      <c r="Q79" s="166">
        <v>0.46818750000000003</v>
      </c>
      <c r="R79" s="166">
        <v>4.5673327820873109</v>
      </c>
      <c r="S79" s="26"/>
      <c r="T79" s="167">
        <f t="shared" si="11"/>
        <v>3.8060833293086351</v>
      </c>
      <c r="U79" s="167">
        <f t="shared" si="12"/>
        <v>4.3545187445800053</v>
      </c>
    </row>
    <row r="80" spans="1:21">
      <c r="A80" s="156"/>
      <c r="B80" s="161">
        <v>2047</v>
      </c>
      <c r="C80" s="160">
        <v>168.21156995790008</v>
      </c>
      <c r="D80" s="77"/>
      <c r="E80" s="26">
        <f t="shared" si="9"/>
        <v>2023</v>
      </c>
      <c r="F80" s="26">
        <f t="shared" si="10"/>
        <v>6</v>
      </c>
      <c r="G80" s="165">
        <v>45078</v>
      </c>
      <c r="H80" s="26" t="s">
        <v>201</v>
      </c>
      <c r="I80" s="26"/>
      <c r="J80" s="166">
        <v>3.5401955150643976</v>
      </c>
      <c r="K80" s="166">
        <v>0.17129999999999992</v>
      </c>
      <c r="L80" s="166">
        <v>3.7114955150643976</v>
      </c>
      <c r="M80" s="166">
        <v>3.5401955150643976</v>
      </c>
      <c r="N80" s="166">
        <v>1.0058187458141103</v>
      </c>
      <c r="O80" s="166">
        <v>4.5460142608785077</v>
      </c>
      <c r="P80" s="166">
        <v>3.9529985724457997</v>
      </c>
      <c r="Q80" s="166">
        <v>0.46818750000000003</v>
      </c>
      <c r="R80" s="166">
        <v>4.4211860724458001</v>
      </c>
      <c r="S80" s="26"/>
      <c r="T80" s="167">
        <f t="shared" si="11"/>
        <v>3.6777965341915313</v>
      </c>
      <c r="U80" s="167">
        <f t="shared" si="12"/>
        <v>4.2262319494629024</v>
      </c>
    </row>
    <row r="81" spans="1:21">
      <c r="A81" s="156"/>
      <c r="B81" s="161">
        <v>2048</v>
      </c>
      <c r="C81" s="160">
        <v>170.64196168592028</v>
      </c>
      <c r="D81" s="77"/>
      <c r="E81" s="26">
        <f t="shared" si="9"/>
        <v>2023</v>
      </c>
      <c r="F81" s="26">
        <f t="shared" si="10"/>
        <v>7</v>
      </c>
      <c r="G81" s="165">
        <v>45108</v>
      </c>
      <c r="H81" s="26" t="s">
        <v>202</v>
      </c>
      <c r="I81" s="26"/>
      <c r="J81" s="166">
        <v>3.5753459216842489</v>
      </c>
      <c r="K81" s="166">
        <v>0.17129999999999992</v>
      </c>
      <c r="L81" s="166">
        <v>3.7466459216842489</v>
      </c>
      <c r="M81" s="166">
        <v>3.5753459216842489</v>
      </c>
      <c r="N81" s="166">
        <v>1.0058187458141103</v>
      </c>
      <c r="O81" s="166">
        <v>4.581164667498359</v>
      </c>
      <c r="P81" s="166">
        <v>3.9922133176024097</v>
      </c>
      <c r="Q81" s="166">
        <v>0.46818750000000003</v>
      </c>
      <c r="R81" s="166">
        <v>4.4604008176024097</v>
      </c>
      <c r="S81" s="26"/>
      <c r="T81" s="167">
        <f t="shared" si="11"/>
        <v>3.7143017203236361</v>
      </c>
      <c r="U81" s="167">
        <f t="shared" si="12"/>
        <v>4.2627371355950059</v>
      </c>
    </row>
    <row r="82" spans="1:21">
      <c r="A82" s="156"/>
      <c r="B82" s="161">
        <v>2049</v>
      </c>
      <c r="C82" s="162">
        <v>173.06734823606439</v>
      </c>
      <c r="D82" s="78"/>
      <c r="E82" s="26">
        <f t="shared" si="9"/>
        <v>2023</v>
      </c>
      <c r="F82" s="26">
        <f t="shared" si="10"/>
        <v>8</v>
      </c>
      <c r="G82" s="165">
        <v>45139</v>
      </c>
      <c r="H82" s="26" t="s">
        <v>203</v>
      </c>
      <c r="I82" s="26"/>
      <c r="J82" s="166">
        <v>3.6025618143612719</v>
      </c>
      <c r="K82" s="166">
        <v>0.17129999999999992</v>
      </c>
      <c r="L82" s="166">
        <v>3.7738618143612719</v>
      </c>
      <c r="M82" s="166">
        <v>3.6025618143612719</v>
      </c>
      <c r="N82" s="166">
        <v>1.0058187458141103</v>
      </c>
      <c r="O82" s="166">
        <v>4.608380560175382</v>
      </c>
      <c r="P82" s="166">
        <v>4.0225678381828489</v>
      </c>
      <c r="Q82" s="166">
        <v>0.46818750000000003</v>
      </c>
      <c r="R82" s="166">
        <v>4.4907553381828489</v>
      </c>
      <c r="S82" s="26"/>
      <c r="T82" s="167">
        <f t="shared" si="11"/>
        <v>3.7425638223017974</v>
      </c>
      <c r="U82" s="167">
        <f t="shared" si="12"/>
        <v>4.2909992375731676</v>
      </c>
    </row>
    <row r="83" spans="1:21">
      <c r="A83" s="156"/>
      <c r="B83" s="161">
        <v>2050</v>
      </c>
      <c r="C83" s="162">
        <v>175.48252381041857</v>
      </c>
      <c r="D83" s="78"/>
      <c r="E83" s="26">
        <f t="shared" si="9"/>
        <v>2023</v>
      </c>
      <c r="F83" s="26">
        <f t="shared" si="10"/>
        <v>9</v>
      </c>
      <c r="G83" s="165">
        <v>45170</v>
      </c>
      <c r="H83" s="26" t="s">
        <v>204</v>
      </c>
      <c r="I83" s="26"/>
      <c r="J83" s="166">
        <v>3.2822680204567809</v>
      </c>
      <c r="K83" s="166">
        <v>0.17129999999999992</v>
      </c>
      <c r="L83" s="166">
        <v>3.4535680204567809</v>
      </c>
      <c r="M83" s="166">
        <v>3.2822680204567809</v>
      </c>
      <c r="N83" s="166">
        <v>1.0058187458141103</v>
      </c>
      <c r="O83" s="166">
        <v>4.288086766270891</v>
      </c>
      <c r="P83" s="166">
        <v>3.6649009522589822</v>
      </c>
      <c r="Q83" s="166">
        <v>0.46818750000000003</v>
      </c>
      <c r="R83" s="166">
        <v>4.1330884522589821</v>
      </c>
      <c r="S83" s="26"/>
      <c r="T83" s="167">
        <f t="shared" si="11"/>
        <v>3.4098123310575148</v>
      </c>
      <c r="U83" s="167">
        <f t="shared" si="12"/>
        <v>3.9582477463288845</v>
      </c>
    </row>
    <row r="84" spans="1:21">
      <c r="A84" s="156"/>
      <c r="B84" s="161">
        <v>2051</v>
      </c>
      <c r="C84" s="162">
        <v>177.90846543685257</v>
      </c>
      <c r="D84" s="78"/>
      <c r="E84" s="26">
        <f t="shared" si="9"/>
        <v>2023</v>
      </c>
      <c r="F84" s="26">
        <f t="shared" si="10"/>
        <v>10</v>
      </c>
      <c r="G84" s="165">
        <v>45200</v>
      </c>
      <c r="H84" s="26" t="s">
        <v>205</v>
      </c>
      <c r="I84" s="26"/>
      <c r="J84" s="166">
        <v>3.3137761256745453</v>
      </c>
      <c r="K84" s="166">
        <v>0.17129999999999992</v>
      </c>
      <c r="L84" s="166">
        <v>3.4850761256745453</v>
      </c>
      <c r="M84" s="166">
        <v>3.3137761256745453</v>
      </c>
      <c r="N84" s="166">
        <v>1.0058187458141103</v>
      </c>
      <c r="O84" s="166">
        <v>4.3195948714886558</v>
      </c>
      <c r="P84" s="166">
        <v>3.7000503291811464</v>
      </c>
      <c r="Q84" s="166">
        <v>0.46818750000000003</v>
      </c>
      <c r="R84" s="166">
        <v>4.1682378291811464</v>
      </c>
      <c r="S84" s="26"/>
      <c r="T84" s="167">
        <f t="shared" si="11"/>
        <v>3.4425341935100788</v>
      </c>
      <c r="U84" s="167">
        <f t="shared" si="12"/>
        <v>3.9909696087814495</v>
      </c>
    </row>
    <row r="85" spans="1:21">
      <c r="A85" s="156"/>
      <c r="B85" s="161">
        <v>2052</v>
      </c>
      <c r="C85" s="160">
        <v>180.33267975015224</v>
      </c>
      <c r="D85" s="77"/>
      <c r="E85" s="26">
        <f t="shared" si="9"/>
        <v>2023</v>
      </c>
      <c r="F85" s="26">
        <f t="shared" si="10"/>
        <v>11</v>
      </c>
      <c r="G85" s="165">
        <v>45231</v>
      </c>
      <c r="H85" s="26" t="s">
        <v>206</v>
      </c>
      <c r="I85" s="26"/>
      <c r="J85" s="166">
        <v>3.2520099106133564</v>
      </c>
      <c r="K85" s="166">
        <v>0.17129999999999992</v>
      </c>
      <c r="L85" s="166">
        <v>3.4233099106133564</v>
      </c>
      <c r="M85" s="166">
        <v>3.2520099106133564</v>
      </c>
      <c r="N85" s="166">
        <v>1.0058187458141103</v>
      </c>
      <c r="O85" s="166">
        <v>4.257828656427467</v>
      </c>
      <c r="P85" s="166">
        <v>3.6310530575965676</v>
      </c>
      <c r="Q85" s="166">
        <v>0.46818750000000003</v>
      </c>
      <c r="R85" s="166">
        <v>4.099240557596568</v>
      </c>
      <c r="S85" s="26"/>
      <c r="T85" s="167">
        <f t="shared" si="11"/>
        <v>3.3783576262744268</v>
      </c>
      <c r="U85" s="167">
        <f t="shared" si="12"/>
        <v>3.9267930415457974</v>
      </c>
    </row>
    <row r="86" spans="1:21">
      <c r="A86" s="156"/>
      <c r="B86" s="161">
        <v>2053</v>
      </c>
      <c r="C86" s="160">
        <v>182.75336178265752</v>
      </c>
      <c r="D86" s="77"/>
      <c r="E86" s="26">
        <f t="shared" si="9"/>
        <v>2023</v>
      </c>
      <c r="F86" s="26">
        <f t="shared" si="10"/>
        <v>12</v>
      </c>
      <c r="G86" s="165">
        <v>45261</v>
      </c>
      <c r="H86" s="26" t="s">
        <v>207</v>
      </c>
      <c r="I86" s="26"/>
      <c r="J86" s="166">
        <v>3.5944354384542279</v>
      </c>
      <c r="K86" s="166">
        <v>0.17129999999999992</v>
      </c>
      <c r="L86" s="166">
        <v>3.7657354384542279</v>
      </c>
      <c r="M86" s="166">
        <v>3.5944354384542279</v>
      </c>
      <c r="N86" s="166">
        <v>1.0058187458141103</v>
      </c>
      <c r="O86" s="166">
        <v>4.600254184268338</v>
      </c>
      <c r="P86" s="166">
        <v>4.0133560554190497</v>
      </c>
      <c r="Q86" s="166">
        <v>0.46818750000000003</v>
      </c>
      <c r="R86" s="166">
        <v>4.4815435554190497</v>
      </c>
      <c r="S86" s="26"/>
      <c r="T86" s="167">
        <f t="shared" si="11"/>
        <v>3.7340756441091685</v>
      </c>
      <c r="U86" s="167">
        <f t="shared" si="12"/>
        <v>4.2825110593805382</v>
      </c>
    </row>
    <row r="87" spans="1:21">
      <c r="A87" s="156"/>
      <c r="B87" s="161">
        <v>2054</v>
      </c>
      <c r="C87" s="162">
        <v>185.17553071310522</v>
      </c>
      <c r="D87" s="78"/>
      <c r="E87" s="26">
        <f t="shared" si="9"/>
        <v>2024</v>
      </c>
      <c r="F87" s="26">
        <f t="shared" si="10"/>
        <v>1</v>
      </c>
      <c r="G87" s="165">
        <v>45292</v>
      </c>
      <c r="H87" s="26" t="s">
        <v>208</v>
      </c>
      <c r="I87" s="26"/>
      <c r="J87" s="166">
        <v>3.8277564010278953</v>
      </c>
      <c r="K87" s="166">
        <v>0.17129999999999992</v>
      </c>
      <c r="L87" s="166">
        <v>3.9990564010278953</v>
      </c>
      <c r="M87" s="166">
        <v>3.8277564010278953</v>
      </c>
      <c r="N87" s="166">
        <v>1.0058187458141103</v>
      </c>
      <c r="O87" s="166">
        <v>4.8335751468420058</v>
      </c>
      <c r="P87" s="166">
        <v>4.2738331712048732</v>
      </c>
      <c r="Q87" s="166">
        <v>0.46818750000000003</v>
      </c>
      <c r="R87" s="166">
        <v>4.7420206712048731</v>
      </c>
      <c r="S87" s="26"/>
      <c r="T87" s="167">
        <f t="shared" si="11"/>
        <v>3.9764486577535543</v>
      </c>
      <c r="U87" s="167">
        <f t="shared" si="12"/>
        <v>4.5248840730249249</v>
      </c>
    </row>
    <row r="88" spans="1:21">
      <c r="A88" s="156"/>
      <c r="B88" s="161">
        <v>2055</v>
      </c>
      <c r="C88" s="160">
        <v>187.59978534399124</v>
      </c>
      <c r="D88" s="77"/>
      <c r="E88" s="26">
        <f t="shared" si="9"/>
        <v>2024</v>
      </c>
      <c r="F88" s="26">
        <f t="shared" si="10"/>
        <v>2</v>
      </c>
      <c r="G88" s="165">
        <v>45323</v>
      </c>
      <c r="H88" s="26" t="s">
        <v>209</v>
      </c>
      <c r="I88" s="26"/>
      <c r="J88" s="166">
        <v>3.9065441205198814</v>
      </c>
      <c r="K88" s="166">
        <v>0.17129999999999992</v>
      </c>
      <c r="L88" s="166">
        <v>4.077844120519881</v>
      </c>
      <c r="M88" s="166">
        <v>3.9065441205198814</v>
      </c>
      <c r="N88" s="166">
        <v>1.0058187458141103</v>
      </c>
      <c r="O88" s="166">
        <v>4.912362866333992</v>
      </c>
      <c r="P88" s="166">
        <v>4.3617651636093333</v>
      </c>
      <c r="Q88" s="166">
        <v>0.46818750000000003</v>
      </c>
      <c r="R88" s="166">
        <v>4.8299526636093333</v>
      </c>
      <c r="S88" s="26"/>
      <c r="T88" s="167">
        <f t="shared" si="11"/>
        <v>4.0582844682163648</v>
      </c>
      <c r="U88" s="167">
        <f t="shared" si="12"/>
        <v>4.6067198834877354</v>
      </c>
    </row>
    <row r="89" spans="1:21">
      <c r="A89" s="156"/>
      <c r="B89" s="161">
        <v>2056</v>
      </c>
      <c r="C89" s="160">
        <v>190.02161183852149</v>
      </c>
      <c r="D89" s="77"/>
      <c r="E89" s="26">
        <f t="shared" si="9"/>
        <v>2024</v>
      </c>
      <c r="F89" s="26">
        <f t="shared" si="10"/>
        <v>3</v>
      </c>
      <c r="G89" s="165">
        <v>45352</v>
      </c>
      <c r="H89" s="26" t="s">
        <v>210</v>
      </c>
      <c r="I89" s="26"/>
      <c r="J89" s="166">
        <v>3.4890107548234579</v>
      </c>
      <c r="K89" s="166">
        <v>0.17129999999999992</v>
      </c>
      <c r="L89" s="166">
        <v>3.6603107548234579</v>
      </c>
      <c r="M89" s="166">
        <v>3.4890107548234579</v>
      </c>
      <c r="N89" s="166">
        <v>1.0058187458141103</v>
      </c>
      <c r="O89" s="166">
        <v>4.494829500637568</v>
      </c>
      <c r="P89" s="166">
        <v>3.8955441197167739</v>
      </c>
      <c r="Q89" s="166">
        <v>0.46818750000000003</v>
      </c>
      <c r="R89" s="166">
        <v>4.3637316197167744</v>
      </c>
      <c r="S89" s="26"/>
      <c r="T89" s="167">
        <f t="shared" si="11"/>
        <v>3.6245218764545633</v>
      </c>
      <c r="U89" s="167">
        <f t="shared" si="12"/>
        <v>4.1729572917259334</v>
      </c>
    </row>
    <row r="90" spans="1:21">
      <c r="A90" s="156"/>
      <c r="B90" s="161">
        <v>2057</v>
      </c>
      <c r="C90" s="162">
        <v>192.44388020710721</v>
      </c>
      <c r="D90" s="78"/>
      <c r="E90" s="26">
        <f t="shared" si="9"/>
        <v>2024</v>
      </c>
      <c r="F90" s="26">
        <f t="shared" si="10"/>
        <v>4</v>
      </c>
      <c r="G90" s="165">
        <v>45383</v>
      </c>
      <c r="H90" s="26" t="s">
        <v>211</v>
      </c>
      <c r="I90" s="26"/>
      <c r="J90" s="166">
        <v>3.4838917759107777</v>
      </c>
      <c r="K90" s="166">
        <v>0.17129999999999992</v>
      </c>
      <c r="L90" s="166">
        <v>3.6551917759107777</v>
      </c>
      <c r="M90" s="166">
        <v>3.4838917759107777</v>
      </c>
      <c r="N90" s="166">
        <v>1.0058187458141103</v>
      </c>
      <c r="O90" s="166">
        <v>4.4897105217248878</v>
      </c>
      <c r="P90" s="166">
        <v>3.889795320024684</v>
      </c>
      <c r="Q90" s="166">
        <v>0.46818750000000003</v>
      </c>
      <c r="R90" s="166">
        <v>4.3579828200246844</v>
      </c>
      <c r="S90" s="26"/>
      <c r="T90" s="167">
        <f t="shared" si="11"/>
        <v>3.6191929572820798</v>
      </c>
      <c r="U90" s="167">
        <f t="shared" si="12"/>
        <v>4.16762837255345</v>
      </c>
    </row>
    <row r="91" spans="1:21">
      <c r="B91" s="155"/>
      <c r="C91" s="69"/>
      <c r="E91" s="26">
        <f t="shared" si="9"/>
        <v>2024</v>
      </c>
      <c r="F91" s="26">
        <f t="shared" si="10"/>
        <v>5</v>
      </c>
      <c r="G91" s="165">
        <v>45413</v>
      </c>
      <c r="H91" s="26" t="s">
        <v>212</v>
      </c>
      <c r="I91" s="26"/>
      <c r="J91" s="166">
        <v>3.6649947685938224</v>
      </c>
      <c r="K91" s="166">
        <v>0.17129999999999992</v>
      </c>
      <c r="L91" s="166">
        <v>3.8362947685938225</v>
      </c>
      <c r="M91" s="166">
        <v>3.6649947685938224</v>
      </c>
      <c r="N91" s="166">
        <v>1.0058187458141103</v>
      </c>
      <c r="O91" s="166">
        <v>4.670813514407933</v>
      </c>
      <c r="P91" s="166">
        <v>4.0919632912707238</v>
      </c>
      <c r="Q91" s="166">
        <v>0.46818750000000003</v>
      </c>
      <c r="R91" s="166">
        <v>4.5601507912707238</v>
      </c>
      <c r="S91" s="26"/>
      <c r="T91" s="167">
        <f t="shared" si="11"/>
        <v>3.8073176094861232</v>
      </c>
      <c r="U91" s="167">
        <f t="shared" si="12"/>
        <v>4.3557530247574929</v>
      </c>
    </row>
    <row r="92" spans="1:21">
      <c r="B92" s="68" t="s">
        <v>364</v>
      </c>
      <c r="C92" s="67"/>
      <c r="E92" s="26">
        <f t="shared" si="9"/>
        <v>2024</v>
      </c>
      <c r="F92" s="26">
        <f t="shared" si="10"/>
        <v>6</v>
      </c>
      <c r="G92" s="165">
        <v>45444</v>
      </c>
      <c r="H92" s="26" t="s">
        <v>213</v>
      </c>
      <c r="I92" s="26"/>
      <c r="J92" s="166">
        <v>3.5453910446189032</v>
      </c>
      <c r="K92" s="166">
        <v>0.17129999999999992</v>
      </c>
      <c r="L92" s="166">
        <v>3.7166910446189032</v>
      </c>
      <c r="M92" s="166">
        <v>3.5453910446189032</v>
      </c>
      <c r="N92" s="166">
        <v>1.0058187458141103</v>
      </c>
      <c r="O92" s="166">
        <v>4.5512097904330133</v>
      </c>
      <c r="P92" s="166">
        <v>3.9562902280343248</v>
      </c>
      <c r="Q92" s="166">
        <v>0.46818750000000003</v>
      </c>
      <c r="R92" s="166">
        <v>4.4244777280343248</v>
      </c>
      <c r="S92" s="26"/>
      <c r="T92" s="167">
        <f t="shared" si="11"/>
        <v>3.6823574390907106</v>
      </c>
      <c r="U92" s="167">
        <f t="shared" si="12"/>
        <v>4.2307928543620799</v>
      </c>
    </row>
    <row r="93" spans="1:21">
      <c r="B93" s="70" t="s">
        <v>365</v>
      </c>
      <c r="C93" s="67"/>
      <c r="E93" s="26">
        <f t="shared" si="9"/>
        <v>2024</v>
      </c>
      <c r="F93" s="26">
        <f t="shared" si="10"/>
        <v>7</v>
      </c>
      <c r="G93" s="165">
        <v>45474</v>
      </c>
      <c r="H93" s="26" t="s">
        <v>214</v>
      </c>
      <c r="I93" s="26"/>
      <c r="J93" s="166">
        <v>3.5800983808563056</v>
      </c>
      <c r="K93" s="166">
        <v>0.17129999999999992</v>
      </c>
      <c r="L93" s="166">
        <v>3.7513983808563056</v>
      </c>
      <c r="M93" s="166">
        <v>3.5800983808563056</v>
      </c>
      <c r="N93" s="166">
        <v>1.0058187458141103</v>
      </c>
      <c r="O93" s="166">
        <v>4.5859171266704157</v>
      </c>
      <c r="P93" s="166">
        <v>3.9946321706202346</v>
      </c>
      <c r="Q93" s="166">
        <v>0.46818750000000003</v>
      </c>
      <c r="R93" s="166">
        <v>4.4628196706202345</v>
      </c>
      <c r="S93" s="26"/>
      <c r="T93" s="167">
        <f t="shared" si="11"/>
        <v>3.7182763107776151</v>
      </c>
      <c r="U93" s="167">
        <f t="shared" si="12"/>
        <v>4.2667117260489853</v>
      </c>
    </row>
    <row r="94" spans="1:21">
      <c r="B94" s="71" t="s">
        <v>366</v>
      </c>
      <c r="C94" s="67"/>
      <c r="E94" s="26">
        <f t="shared" si="9"/>
        <v>2024</v>
      </c>
      <c r="F94" s="26">
        <f t="shared" si="10"/>
        <v>8</v>
      </c>
      <c r="G94" s="165">
        <v>45505</v>
      </c>
      <c r="H94" s="26" t="s">
        <v>215</v>
      </c>
      <c r="I94" s="26"/>
      <c r="J94" s="166">
        <v>3.6068522185161211</v>
      </c>
      <c r="K94" s="166">
        <v>0.17129999999999992</v>
      </c>
      <c r="L94" s="166">
        <v>3.7781522185161212</v>
      </c>
      <c r="M94" s="166">
        <v>3.6068522185161211</v>
      </c>
      <c r="N94" s="166">
        <v>1.0058187458141103</v>
      </c>
      <c r="O94" s="166">
        <v>4.6126709643302313</v>
      </c>
      <c r="P94" s="166">
        <v>4.024093074899068</v>
      </c>
      <c r="Q94" s="166">
        <v>0.46818750000000003</v>
      </c>
      <c r="R94" s="166">
        <v>4.492280574899068</v>
      </c>
      <c r="S94" s="26"/>
      <c r="T94" s="167">
        <f t="shared" si="11"/>
        <v>3.7459325039771034</v>
      </c>
      <c r="U94" s="167">
        <f t="shared" si="12"/>
        <v>4.2943679192484732</v>
      </c>
    </row>
    <row r="95" spans="1:21">
      <c r="B95" s="71" t="s">
        <v>367</v>
      </c>
      <c r="C95" s="67"/>
      <c r="E95" s="26">
        <f t="shared" si="9"/>
        <v>2024</v>
      </c>
      <c r="F95" s="26">
        <f t="shared" si="10"/>
        <v>9</v>
      </c>
      <c r="G95" s="165">
        <v>45536</v>
      </c>
      <c r="H95" s="26" t="s">
        <v>216</v>
      </c>
      <c r="I95" s="26"/>
      <c r="J95" s="166">
        <v>3.2857232154221596</v>
      </c>
      <c r="K95" s="166">
        <v>0.17129999999999992</v>
      </c>
      <c r="L95" s="166">
        <v>3.4570232154221596</v>
      </c>
      <c r="M95" s="166">
        <v>3.2857232154221596</v>
      </c>
      <c r="N95" s="166">
        <v>1.0058187458141103</v>
      </c>
      <c r="O95" s="166">
        <v>4.2915419612362697</v>
      </c>
      <c r="P95" s="166">
        <v>3.6654599593235111</v>
      </c>
      <c r="Q95" s="166">
        <v>0.46818750000000003</v>
      </c>
      <c r="R95" s="166">
        <v>4.1336474593235115</v>
      </c>
      <c r="S95" s="26"/>
      <c r="T95" s="167">
        <f t="shared" si="11"/>
        <v>3.4123021300559433</v>
      </c>
      <c r="U95" s="167">
        <f t="shared" si="12"/>
        <v>3.9607375453273135</v>
      </c>
    </row>
    <row r="96" spans="1:21">
      <c r="E96" s="26">
        <f t="shared" si="9"/>
        <v>2024</v>
      </c>
      <c r="F96" s="26">
        <f t="shared" si="10"/>
        <v>10</v>
      </c>
      <c r="G96" s="165">
        <v>45566</v>
      </c>
      <c r="H96" s="26" t="s">
        <v>217</v>
      </c>
      <c r="I96" s="26"/>
      <c r="J96" s="166">
        <v>3.3168065468255961</v>
      </c>
      <c r="K96" s="166">
        <v>0.17129999999999992</v>
      </c>
      <c r="L96" s="166">
        <v>3.4881065468255961</v>
      </c>
      <c r="M96" s="166">
        <v>3.3168065468255961</v>
      </c>
      <c r="N96" s="166">
        <v>1.0058187458141103</v>
      </c>
      <c r="O96" s="166">
        <v>4.3226252926397066</v>
      </c>
      <c r="P96" s="166">
        <v>3.6997764244534026</v>
      </c>
      <c r="Q96" s="166">
        <v>0.46818750000000003</v>
      </c>
      <c r="R96" s="166">
        <v>4.167963924453403</v>
      </c>
      <c r="S96" s="26"/>
      <c r="T96" s="167">
        <f t="shared" si="11"/>
        <v>3.4444631727015316</v>
      </c>
      <c r="U96" s="167">
        <f t="shared" si="12"/>
        <v>3.9928985879729022</v>
      </c>
    </row>
    <row r="97" spans="5:21">
      <c r="E97" s="26">
        <f t="shared" si="9"/>
        <v>2024</v>
      </c>
      <c r="F97" s="26">
        <f t="shared" si="10"/>
        <v>11</v>
      </c>
      <c r="G97" s="165">
        <v>45597</v>
      </c>
      <c r="H97" s="26" t="s">
        <v>218</v>
      </c>
      <c r="I97" s="26"/>
      <c r="J97" s="166">
        <v>3.2545346126390249</v>
      </c>
      <c r="K97" s="166">
        <v>0.17129999999999992</v>
      </c>
      <c r="L97" s="166">
        <v>3.4258346126390249</v>
      </c>
      <c r="M97" s="166">
        <v>3.2545346126390249</v>
      </c>
      <c r="N97" s="166">
        <v>1.0058187458141103</v>
      </c>
      <c r="O97" s="166">
        <v>4.260353358453135</v>
      </c>
      <c r="P97" s="166">
        <v>3.6299619196393595</v>
      </c>
      <c r="Q97" s="166">
        <v>0.46818750000000003</v>
      </c>
      <c r="R97" s="166">
        <v>4.09814941963936</v>
      </c>
      <c r="S97" s="26"/>
      <c r="T97" s="167">
        <f t="shared" si="11"/>
        <v>3.379677048305803</v>
      </c>
      <c r="U97" s="167">
        <f t="shared" si="12"/>
        <v>3.9281124635771731</v>
      </c>
    </row>
    <row r="98" spans="5:21">
      <c r="E98" s="26">
        <f t="shared" si="9"/>
        <v>2024</v>
      </c>
      <c r="F98" s="26">
        <f t="shared" si="10"/>
        <v>12</v>
      </c>
      <c r="G98" s="165">
        <v>45627</v>
      </c>
      <c r="H98" s="26" t="s">
        <v>219</v>
      </c>
      <c r="I98" s="26"/>
      <c r="J98" s="166">
        <v>3.5967296355010459</v>
      </c>
      <c r="K98" s="166">
        <v>0.17129999999999992</v>
      </c>
      <c r="L98" s="166">
        <v>3.7680296355010459</v>
      </c>
      <c r="M98" s="166">
        <v>3.5967296355010459</v>
      </c>
      <c r="N98" s="166">
        <v>1.0058187458141103</v>
      </c>
      <c r="O98" s="166">
        <v>4.602548381315156</v>
      </c>
      <c r="P98" s="166">
        <v>4.0112414437629154</v>
      </c>
      <c r="Q98" s="166">
        <v>0.46818750000000003</v>
      </c>
      <c r="R98" s="166">
        <v>4.4794289437629153</v>
      </c>
      <c r="S98" s="26"/>
      <c r="T98" s="167">
        <f t="shared" si="11"/>
        <v>3.7349002382550025</v>
      </c>
      <c r="U98" s="167">
        <f t="shared" si="12"/>
        <v>4.2833356535263727</v>
      </c>
    </row>
    <row r="99" spans="5:21">
      <c r="E99" s="26">
        <f t="shared" si="9"/>
        <v>2025</v>
      </c>
      <c r="F99" s="26">
        <f t="shared" si="10"/>
        <v>1</v>
      </c>
      <c r="G99" s="165">
        <v>45658</v>
      </c>
      <c r="H99" s="26" t="s">
        <v>220</v>
      </c>
      <c r="I99" s="26"/>
      <c r="J99" s="166">
        <v>3.8296711541073645</v>
      </c>
      <c r="K99" s="166">
        <v>0.17129999999999992</v>
      </c>
      <c r="L99" s="166">
        <v>4.000971154107364</v>
      </c>
      <c r="M99" s="166">
        <v>3.8296711541073645</v>
      </c>
      <c r="N99" s="166">
        <v>1.0058187458141103</v>
      </c>
      <c r="O99" s="166">
        <v>4.835489899921475</v>
      </c>
      <c r="P99" s="166">
        <v>4.2706141081422491</v>
      </c>
      <c r="Q99" s="166">
        <v>0.46818750000000003</v>
      </c>
      <c r="R99" s="166">
        <v>4.738801608142249</v>
      </c>
      <c r="S99" s="26"/>
      <c r="T99" s="167">
        <f t="shared" si="11"/>
        <v>3.9766521387856595</v>
      </c>
      <c r="U99" s="167">
        <f t="shared" si="12"/>
        <v>4.5250875540570297</v>
      </c>
    </row>
    <row r="100" spans="5:21">
      <c r="E100" s="26">
        <f t="shared" si="9"/>
        <v>2025</v>
      </c>
      <c r="F100" s="26">
        <f t="shared" si="10"/>
        <v>2</v>
      </c>
      <c r="G100" s="165">
        <v>45689</v>
      </c>
      <c r="H100" s="26" t="s">
        <v>221</v>
      </c>
      <c r="I100" s="26"/>
      <c r="J100" s="166">
        <v>3.9079592518272812</v>
      </c>
      <c r="K100" s="166">
        <v>0.17129999999999992</v>
      </c>
      <c r="L100" s="166">
        <v>4.0792592518272812</v>
      </c>
      <c r="M100" s="166">
        <v>3.9079592518272812</v>
      </c>
      <c r="N100" s="166">
        <v>1.0058187458141103</v>
      </c>
      <c r="O100" s="166">
        <v>4.9137779976413913</v>
      </c>
      <c r="P100" s="166">
        <v>4.3574931226683118</v>
      </c>
      <c r="Q100" s="166">
        <v>0.46818750000000003</v>
      </c>
      <c r="R100" s="166">
        <v>4.8256806226683118</v>
      </c>
      <c r="S100" s="26"/>
      <c r="T100" s="167">
        <f t="shared" si="11"/>
        <v>4.0578038754409578</v>
      </c>
      <c r="U100" s="167">
        <f t="shared" si="12"/>
        <v>4.6062392907123284</v>
      </c>
    </row>
    <row r="101" spans="5:21">
      <c r="E101" s="26">
        <f t="shared" si="9"/>
        <v>2025</v>
      </c>
      <c r="F101" s="26">
        <f t="shared" si="10"/>
        <v>3</v>
      </c>
      <c r="G101" s="165">
        <v>45717</v>
      </c>
      <c r="H101" s="26" t="s">
        <v>222</v>
      </c>
      <c r="I101" s="26"/>
      <c r="J101" s="166">
        <v>3.4897933986603715</v>
      </c>
      <c r="K101" s="166">
        <v>0.17129999999999992</v>
      </c>
      <c r="L101" s="166">
        <v>3.6610933986603715</v>
      </c>
      <c r="M101" s="166">
        <v>3.4897933986603715</v>
      </c>
      <c r="N101" s="166">
        <v>1.0058187458141103</v>
      </c>
      <c r="O101" s="166">
        <v>4.4956121444744817</v>
      </c>
      <c r="P101" s="166">
        <v>3.8908477552609311</v>
      </c>
      <c r="Q101" s="166">
        <v>0.46818750000000003</v>
      </c>
      <c r="R101" s="166">
        <v>4.3590352552609311</v>
      </c>
      <c r="S101" s="26"/>
      <c r="T101" s="167">
        <f t="shared" si="11"/>
        <v>3.6234781841938912</v>
      </c>
      <c r="U101" s="167">
        <f t="shared" si="12"/>
        <v>4.1719135994652614</v>
      </c>
    </row>
    <row r="102" spans="5:21">
      <c r="E102" s="26">
        <f t="shared" si="9"/>
        <v>2025</v>
      </c>
      <c r="F102" s="26">
        <f t="shared" si="10"/>
        <v>4</v>
      </c>
      <c r="G102" s="165">
        <v>45748</v>
      </c>
      <c r="H102" s="26" t="s">
        <v>223</v>
      </c>
      <c r="I102" s="26"/>
      <c r="J102" s="166">
        <v>3.4841929235413298</v>
      </c>
      <c r="K102" s="166">
        <v>0.17129999999999992</v>
      </c>
      <c r="L102" s="166">
        <v>3.6554929235413298</v>
      </c>
      <c r="M102" s="166">
        <v>3.4841929235413298</v>
      </c>
      <c r="N102" s="166">
        <v>1.0058187458141103</v>
      </c>
      <c r="O102" s="166">
        <v>4.4900116693554404</v>
      </c>
      <c r="P102" s="166">
        <v>3.8842265530317297</v>
      </c>
      <c r="Q102" s="166">
        <v>0.46818750000000003</v>
      </c>
      <c r="R102" s="166">
        <v>4.3524140530317297</v>
      </c>
      <c r="S102" s="26"/>
      <c r="T102" s="167">
        <f t="shared" si="11"/>
        <v>3.6175374667047961</v>
      </c>
      <c r="U102" s="167">
        <f t="shared" si="12"/>
        <v>4.1659728819761668</v>
      </c>
    </row>
    <row r="103" spans="5:21">
      <c r="E103" s="26">
        <f t="shared" si="9"/>
        <v>2025</v>
      </c>
      <c r="F103" s="26">
        <f t="shared" si="10"/>
        <v>5</v>
      </c>
      <c r="G103" s="165">
        <v>45778</v>
      </c>
      <c r="H103" s="26" t="s">
        <v>224</v>
      </c>
      <c r="I103" s="26"/>
      <c r="J103" s="166">
        <v>3.6648064459060508</v>
      </c>
      <c r="K103" s="166">
        <v>0.17129999999999992</v>
      </c>
      <c r="L103" s="166">
        <v>3.8361064459060508</v>
      </c>
      <c r="M103" s="166">
        <v>3.6648064459060508</v>
      </c>
      <c r="N103" s="166">
        <v>1.0058187458141103</v>
      </c>
      <c r="O103" s="166">
        <v>4.6706251917201609</v>
      </c>
      <c r="P103" s="166">
        <v>4.085180395401923</v>
      </c>
      <c r="Q103" s="166">
        <v>0.46818750000000003</v>
      </c>
      <c r="R103" s="166">
        <v>4.553367895401923</v>
      </c>
      <c r="S103" s="26"/>
      <c r="T103" s="167">
        <f t="shared" si="11"/>
        <v>3.804931095738008</v>
      </c>
      <c r="U103" s="167">
        <f t="shared" si="12"/>
        <v>4.3533665110093782</v>
      </c>
    </row>
    <row r="104" spans="5:21">
      <c r="E104" s="26">
        <f t="shared" si="9"/>
        <v>2025</v>
      </c>
      <c r="F104" s="26">
        <f t="shared" si="10"/>
        <v>6</v>
      </c>
      <c r="G104" s="165">
        <v>45809</v>
      </c>
      <c r="H104" s="26" t="s">
        <v>225</v>
      </c>
      <c r="I104" s="26"/>
      <c r="J104" s="166">
        <v>3.5566040572064219</v>
      </c>
      <c r="K104" s="166">
        <v>0.17129999999999992</v>
      </c>
      <c r="L104" s="166">
        <v>3.7279040572064219</v>
      </c>
      <c r="M104" s="166">
        <v>3.5566040572064219</v>
      </c>
      <c r="N104" s="166">
        <v>1.0058187458141103</v>
      </c>
      <c r="O104" s="166">
        <v>4.5624228030205325</v>
      </c>
      <c r="P104" s="166">
        <v>3.9575225810967498</v>
      </c>
      <c r="Q104" s="166">
        <v>0.46818750000000003</v>
      </c>
      <c r="R104" s="166">
        <v>4.4257100810967502</v>
      </c>
      <c r="S104" s="26"/>
      <c r="T104" s="167">
        <f t="shared" si="11"/>
        <v>3.6902435651698648</v>
      </c>
      <c r="U104" s="167">
        <f t="shared" si="12"/>
        <v>4.238678980441235</v>
      </c>
    </row>
    <row r="105" spans="5:21">
      <c r="E105" s="26">
        <f t="shared" si="9"/>
        <v>2025</v>
      </c>
      <c r="F105" s="26">
        <f t="shared" si="10"/>
        <v>7</v>
      </c>
      <c r="G105" s="165">
        <v>45839</v>
      </c>
      <c r="H105" s="26" t="s">
        <v>226</v>
      </c>
      <c r="I105" s="26"/>
      <c r="J105" s="166">
        <v>3.5929268909811389</v>
      </c>
      <c r="K105" s="166">
        <v>0.17129999999999992</v>
      </c>
      <c r="L105" s="166">
        <v>3.7642268909811389</v>
      </c>
      <c r="M105" s="166">
        <v>3.5929268909811389</v>
      </c>
      <c r="N105" s="166">
        <v>1.0058187458141103</v>
      </c>
      <c r="O105" s="166">
        <v>4.5987456367952495</v>
      </c>
      <c r="P105" s="166">
        <v>3.9964348122431388</v>
      </c>
      <c r="Q105" s="166">
        <v>0.46818750000000003</v>
      </c>
      <c r="R105" s="166">
        <v>4.4646223122431392</v>
      </c>
      <c r="S105" s="26"/>
      <c r="T105" s="167">
        <f t="shared" si="11"/>
        <v>3.7274295314018056</v>
      </c>
      <c r="U105" s="167">
        <f t="shared" si="12"/>
        <v>4.2758649466731766</v>
      </c>
    </row>
    <row r="106" spans="5:21">
      <c r="E106" s="26">
        <f t="shared" si="9"/>
        <v>2025</v>
      </c>
      <c r="F106" s="26">
        <f t="shared" si="10"/>
        <v>8</v>
      </c>
      <c r="G106" s="165">
        <v>45870</v>
      </c>
      <c r="H106" s="26" t="s">
        <v>227</v>
      </c>
      <c r="I106" s="26"/>
      <c r="J106" s="166">
        <v>3.6212934147548688</v>
      </c>
      <c r="K106" s="166">
        <v>0.17129999999999992</v>
      </c>
      <c r="L106" s="166">
        <v>3.7925934147548688</v>
      </c>
      <c r="M106" s="166">
        <v>3.6212934147548688</v>
      </c>
      <c r="N106" s="166">
        <v>1.0058187458141103</v>
      </c>
      <c r="O106" s="166">
        <v>4.6271121605689789</v>
      </c>
      <c r="P106" s="166">
        <v>4.0264715238512236</v>
      </c>
      <c r="Q106" s="166">
        <v>0.46818750000000003</v>
      </c>
      <c r="R106" s="166">
        <v>4.4946590238512236</v>
      </c>
      <c r="S106" s="26"/>
      <c r="T106" s="167">
        <f t="shared" si="11"/>
        <v>3.7563527844536537</v>
      </c>
      <c r="U106" s="167">
        <f t="shared" si="12"/>
        <v>4.3047881997250235</v>
      </c>
    </row>
    <row r="107" spans="5:21">
      <c r="E107" s="26">
        <f t="shared" si="9"/>
        <v>2025</v>
      </c>
      <c r="F107" s="26">
        <f t="shared" si="10"/>
        <v>9</v>
      </c>
      <c r="G107" s="165">
        <v>45901</v>
      </c>
      <c r="H107" s="26" t="s">
        <v>228</v>
      </c>
      <c r="I107" s="26"/>
      <c r="J107" s="166">
        <v>3.3002602936618821</v>
      </c>
      <c r="K107" s="166">
        <v>0.17129999999999992</v>
      </c>
      <c r="L107" s="166">
        <v>3.4715602936618821</v>
      </c>
      <c r="M107" s="166">
        <v>3.3002602936618821</v>
      </c>
      <c r="N107" s="166">
        <v>1.0058187458141103</v>
      </c>
      <c r="O107" s="166">
        <v>4.3060790394759927</v>
      </c>
      <c r="P107" s="166">
        <v>3.6681388630762215</v>
      </c>
      <c r="Q107" s="166">
        <v>0.46818750000000003</v>
      </c>
      <c r="R107" s="166">
        <v>4.1363263630762219</v>
      </c>
      <c r="S107" s="26"/>
      <c r="T107" s="167">
        <f t="shared" si="11"/>
        <v>3.4228864834666619</v>
      </c>
      <c r="U107" s="167">
        <f t="shared" si="12"/>
        <v>3.9713218987380325</v>
      </c>
    </row>
    <row r="108" spans="5:21">
      <c r="E108" s="26">
        <f t="shared" si="9"/>
        <v>2025</v>
      </c>
      <c r="F108" s="26">
        <f t="shared" si="10"/>
        <v>10</v>
      </c>
      <c r="G108" s="165">
        <v>45931</v>
      </c>
      <c r="H108" s="26" t="s">
        <v>229</v>
      </c>
      <c r="I108" s="26"/>
      <c r="J108" s="166">
        <v>3.332875695150789</v>
      </c>
      <c r="K108" s="166">
        <v>0.17129999999999992</v>
      </c>
      <c r="L108" s="166">
        <v>3.504175695150789</v>
      </c>
      <c r="M108" s="166">
        <v>3.332875695150789</v>
      </c>
      <c r="N108" s="166">
        <v>1.0058187458141103</v>
      </c>
      <c r="O108" s="166">
        <v>4.3386944409648995</v>
      </c>
      <c r="P108" s="166">
        <v>3.7029976769284509</v>
      </c>
      <c r="Q108" s="166">
        <v>0.46818750000000003</v>
      </c>
      <c r="R108" s="166">
        <v>4.1711851769284509</v>
      </c>
      <c r="S108" s="26"/>
      <c r="T108" s="167">
        <f t="shared" si="11"/>
        <v>3.4562496890766763</v>
      </c>
      <c r="U108" s="167">
        <f t="shared" si="12"/>
        <v>4.004685104348046</v>
      </c>
    </row>
    <row r="109" spans="5:21">
      <c r="E109" s="26">
        <f t="shared" si="9"/>
        <v>2025</v>
      </c>
      <c r="F109" s="26">
        <f t="shared" si="10"/>
        <v>11</v>
      </c>
      <c r="G109" s="165">
        <v>45962</v>
      </c>
      <c r="H109" s="26" t="s">
        <v>230</v>
      </c>
      <c r="I109" s="26"/>
      <c r="J109" s="166">
        <v>3.2716702880338535</v>
      </c>
      <c r="K109" s="166">
        <v>0.17129999999999992</v>
      </c>
      <c r="L109" s="166">
        <v>3.4429702880338535</v>
      </c>
      <c r="M109" s="166">
        <v>3.2716702880338535</v>
      </c>
      <c r="N109" s="166">
        <v>1.0058187458141103</v>
      </c>
      <c r="O109" s="166">
        <v>4.2774890338479636</v>
      </c>
      <c r="P109" s="166">
        <v>3.6336299396030989</v>
      </c>
      <c r="Q109" s="166">
        <v>0.46818750000000003</v>
      </c>
      <c r="R109" s="166">
        <v>4.1018174396030993</v>
      </c>
      <c r="S109" s="26"/>
      <c r="T109" s="167">
        <f t="shared" si="11"/>
        <v>3.3923235052236023</v>
      </c>
      <c r="U109" s="167">
        <f t="shared" si="12"/>
        <v>3.940758920494972</v>
      </c>
    </row>
    <row r="110" spans="5:21">
      <c r="E110" s="26">
        <f t="shared" si="9"/>
        <v>2025</v>
      </c>
      <c r="F110" s="26">
        <f t="shared" si="10"/>
        <v>12</v>
      </c>
      <c r="G110" s="165">
        <v>45992</v>
      </c>
      <c r="H110" s="26" t="s">
        <v>231</v>
      </c>
      <c r="I110" s="26"/>
      <c r="J110" s="166">
        <v>3.6171789450176499</v>
      </c>
      <c r="K110" s="166">
        <v>0.17129999999999992</v>
      </c>
      <c r="L110" s="166">
        <v>3.7884789450176499</v>
      </c>
      <c r="M110" s="166">
        <v>3.6171789450176499</v>
      </c>
      <c r="N110" s="166">
        <v>1.0058187458141103</v>
      </c>
      <c r="O110" s="166">
        <v>4.6229976908317605</v>
      </c>
      <c r="P110" s="166">
        <v>4.0158556539653771</v>
      </c>
      <c r="Q110" s="166">
        <v>0.46818750000000003</v>
      </c>
      <c r="R110" s="166">
        <v>4.4840431539653771</v>
      </c>
      <c r="S110" s="26"/>
      <c r="T110" s="167">
        <f t="shared" si="11"/>
        <v>3.7500711813335585</v>
      </c>
      <c r="U110" s="167">
        <f t="shared" si="12"/>
        <v>4.2985065966049296</v>
      </c>
    </row>
    <row r="111" spans="5:21">
      <c r="E111" s="26">
        <f t="shared" si="9"/>
        <v>2026</v>
      </c>
      <c r="F111" s="26">
        <f t="shared" si="10"/>
        <v>1</v>
      </c>
      <c r="G111" s="165">
        <v>46023</v>
      </c>
      <c r="H111" s="26" t="s">
        <v>232</v>
      </c>
      <c r="I111" s="26"/>
      <c r="J111" s="166">
        <v>3.8530545267834935</v>
      </c>
      <c r="K111" s="166">
        <v>0.17129999999999992</v>
      </c>
      <c r="L111" s="166">
        <v>4.024354526783493</v>
      </c>
      <c r="M111" s="166">
        <v>3.8530545267834935</v>
      </c>
      <c r="N111" s="166">
        <v>1.0058187458141103</v>
      </c>
      <c r="O111" s="166">
        <v>4.858873272597604</v>
      </c>
      <c r="P111" s="166">
        <v>4.2761239149905634</v>
      </c>
      <c r="Q111" s="166">
        <v>0.46818750000000003</v>
      </c>
      <c r="R111" s="166">
        <v>4.7443114149905634</v>
      </c>
      <c r="S111" s="26"/>
      <c r="T111" s="167">
        <f t="shared" si="11"/>
        <v>3.99407765618585</v>
      </c>
      <c r="U111" s="167">
        <f t="shared" si="12"/>
        <v>4.5425130714572193</v>
      </c>
    </row>
    <row r="112" spans="5:21">
      <c r="E112" s="26">
        <f t="shared" si="9"/>
        <v>2026</v>
      </c>
      <c r="F112" s="26">
        <f t="shared" si="10"/>
        <v>2</v>
      </c>
      <c r="G112" s="165">
        <v>46054</v>
      </c>
      <c r="H112" s="26" t="s">
        <v>233</v>
      </c>
      <c r="I112" s="26"/>
      <c r="J112" s="166">
        <v>3.9334630378923809</v>
      </c>
      <c r="K112" s="166">
        <v>0.17129999999999992</v>
      </c>
      <c r="L112" s="166">
        <v>4.104763037892381</v>
      </c>
      <c r="M112" s="166">
        <v>3.9334630378923809</v>
      </c>
      <c r="N112" s="166">
        <v>1.0058187458141103</v>
      </c>
      <c r="O112" s="166">
        <v>4.9392817837064911</v>
      </c>
      <c r="P112" s="166">
        <v>4.3637244565030224</v>
      </c>
      <c r="Q112" s="166">
        <v>0.46818750000000003</v>
      </c>
      <c r="R112" s="166">
        <v>4.8319119565030224</v>
      </c>
      <c r="S112" s="26"/>
      <c r="T112" s="167">
        <f t="shared" si="11"/>
        <v>4.0768835107625945</v>
      </c>
      <c r="U112" s="167">
        <f t="shared" si="12"/>
        <v>4.6253189260339651</v>
      </c>
    </row>
    <row r="113" spans="5:21">
      <c r="E113" s="26">
        <f t="shared" si="9"/>
        <v>2026</v>
      </c>
      <c r="F113" s="26">
        <f t="shared" si="10"/>
        <v>3</v>
      </c>
      <c r="G113" s="165">
        <v>46082</v>
      </c>
      <c r="H113" s="26" t="s">
        <v>234</v>
      </c>
      <c r="I113" s="26"/>
      <c r="J113" s="166">
        <v>3.5140346868675558</v>
      </c>
      <c r="K113" s="166">
        <v>0.17129999999999992</v>
      </c>
      <c r="L113" s="166">
        <v>3.6853346868675558</v>
      </c>
      <c r="M113" s="166">
        <v>3.5140346868675558</v>
      </c>
      <c r="N113" s="166">
        <v>1.0058187458141103</v>
      </c>
      <c r="O113" s="166">
        <v>4.519853432681666</v>
      </c>
      <c r="P113" s="166">
        <v>3.8969559948787018</v>
      </c>
      <c r="Q113" s="166">
        <v>0.46818750000000003</v>
      </c>
      <c r="R113" s="166">
        <v>4.3651434948787022</v>
      </c>
      <c r="S113" s="26"/>
      <c r="T113" s="167">
        <f t="shared" si="11"/>
        <v>3.6416751228712712</v>
      </c>
      <c r="U113" s="167">
        <f t="shared" si="12"/>
        <v>4.1901105381426413</v>
      </c>
    </row>
    <row r="114" spans="5:21">
      <c r="E114" s="26">
        <f t="shared" si="9"/>
        <v>2026</v>
      </c>
      <c r="F114" s="26">
        <f t="shared" si="10"/>
        <v>4</v>
      </c>
      <c r="G114" s="165">
        <v>46113</v>
      </c>
      <c r="H114" s="26" t="s">
        <v>235</v>
      </c>
      <c r="I114" s="26"/>
      <c r="J114" s="166">
        <v>3.5098592998759268</v>
      </c>
      <c r="K114" s="166">
        <v>0.17129999999999992</v>
      </c>
      <c r="L114" s="166">
        <v>3.6811592998759268</v>
      </c>
      <c r="M114" s="166">
        <v>3.5098592998759268</v>
      </c>
      <c r="N114" s="166">
        <v>1.0058187458141103</v>
      </c>
      <c r="O114" s="166">
        <v>4.5156780456900369</v>
      </c>
      <c r="P114" s="166">
        <v>3.8908677410161108</v>
      </c>
      <c r="Q114" s="166">
        <v>0.46818750000000003</v>
      </c>
      <c r="R114" s="166">
        <v>4.3590552410161107</v>
      </c>
      <c r="S114" s="26"/>
      <c r="T114" s="167">
        <f t="shared" si="11"/>
        <v>3.6368621135893213</v>
      </c>
      <c r="U114" s="167">
        <f t="shared" si="12"/>
        <v>4.1852975288606915</v>
      </c>
    </row>
    <row r="115" spans="5:21">
      <c r="E115" s="26">
        <f t="shared" si="9"/>
        <v>2026</v>
      </c>
      <c r="F115" s="26">
        <f t="shared" si="10"/>
        <v>5</v>
      </c>
      <c r="G115" s="165">
        <v>46143</v>
      </c>
      <c r="H115" s="26" t="s">
        <v>236</v>
      </c>
      <c r="I115" s="26"/>
      <c r="J115" s="166">
        <v>3.6933430329366463</v>
      </c>
      <c r="K115" s="166">
        <v>0.17129999999999992</v>
      </c>
      <c r="L115" s="166">
        <v>3.8646430329366463</v>
      </c>
      <c r="M115" s="166">
        <v>3.6933430329366463</v>
      </c>
      <c r="N115" s="166">
        <v>1.0058187458141103</v>
      </c>
      <c r="O115" s="166">
        <v>4.6991617787507565</v>
      </c>
      <c r="P115" s="166">
        <v>4.0927366745592186</v>
      </c>
      <c r="Q115" s="166">
        <v>0.46818750000000003</v>
      </c>
      <c r="R115" s="166">
        <v>4.5609241745592186</v>
      </c>
      <c r="S115" s="26"/>
      <c r="T115" s="167">
        <f t="shared" si="11"/>
        <v>3.8264742468108373</v>
      </c>
      <c r="U115" s="167">
        <f t="shared" si="12"/>
        <v>4.3749096620822074</v>
      </c>
    </row>
    <row r="116" spans="5:21">
      <c r="E116" s="26">
        <f t="shared" si="9"/>
        <v>2026</v>
      </c>
      <c r="F116" s="26">
        <f t="shared" si="10"/>
        <v>6</v>
      </c>
      <c r="G116" s="165">
        <v>46174</v>
      </c>
      <c r="H116" s="26" t="s">
        <v>237</v>
      </c>
      <c r="I116" s="26"/>
      <c r="J116" s="166">
        <v>3.5780617490205531</v>
      </c>
      <c r="K116" s="166">
        <v>0.17129999999999992</v>
      </c>
      <c r="L116" s="166">
        <v>3.7493617490205531</v>
      </c>
      <c r="M116" s="166">
        <v>3.5780617490205531</v>
      </c>
      <c r="N116" s="166">
        <v>1.0058187458141103</v>
      </c>
      <c r="O116" s="166">
        <v>4.5838804948346636</v>
      </c>
      <c r="P116" s="166">
        <v>3.9643910658345516</v>
      </c>
      <c r="Q116" s="166">
        <v>0.46818750000000003</v>
      </c>
      <c r="R116" s="166">
        <v>4.432578565834552</v>
      </c>
      <c r="S116" s="26"/>
      <c r="T116" s="167">
        <f t="shared" si="11"/>
        <v>3.7068381879585526</v>
      </c>
      <c r="U116" s="167">
        <f t="shared" si="12"/>
        <v>4.2552736032299228</v>
      </c>
    </row>
    <row r="117" spans="5:21">
      <c r="E117" s="26">
        <f t="shared" si="9"/>
        <v>2026</v>
      </c>
      <c r="F117" s="26">
        <f t="shared" si="10"/>
        <v>7</v>
      </c>
      <c r="G117" s="165">
        <v>46204</v>
      </c>
      <c r="H117" s="26" t="s">
        <v>238</v>
      </c>
      <c r="I117" s="26"/>
      <c r="J117" s="166">
        <v>3.6148112283524707</v>
      </c>
      <c r="K117" s="166">
        <v>0.17129999999999992</v>
      </c>
      <c r="L117" s="166">
        <v>3.7861112283524707</v>
      </c>
      <c r="M117" s="166">
        <v>3.6148112283524707</v>
      </c>
      <c r="N117" s="166">
        <v>1.0058187458141103</v>
      </c>
      <c r="O117" s="166">
        <v>4.6206299741665813</v>
      </c>
      <c r="P117" s="166">
        <v>4.0037603766210763</v>
      </c>
      <c r="Q117" s="166">
        <v>0.46818750000000003</v>
      </c>
      <c r="R117" s="166">
        <v>4.4719478766210763</v>
      </c>
      <c r="S117" s="26"/>
      <c r="T117" s="167">
        <f t="shared" si="11"/>
        <v>3.7444609444420061</v>
      </c>
      <c r="U117" s="167">
        <f t="shared" si="12"/>
        <v>4.2928963597133762</v>
      </c>
    </row>
    <row r="118" spans="5:21">
      <c r="E118" s="26">
        <f t="shared" si="9"/>
        <v>2026</v>
      </c>
      <c r="F118" s="26">
        <f t="shared" si="10"/>
        <v>8</v>
      </c>
      <c r="G118" s="165">
        <v>46235</v>
      </c>
      <c r="H118" s="26" t="s">
        <v>239</v>
      </c>
      <c r="I118" s="26"/>
      <c r="J118" s="166">
        <v>3.6435594747798614</v>
      </c>
      <c r="K118" s="166">
        <v>0.17129999999999992</v>
      </c>
      <c r="L118" s="166">
        <v>3.8148594747798614</v>
      </c>
      <c r="M118" s="166">
        <v>3.6435594747798614</v>
      </c>
      <c r="N118" s="166">
        <v>1.0058187458141103</v>
      </c>
      <c r="O118" s="166">
        <v>4.649378220593972</v>
      </c>
      <c r="P118" s="166">
        <v>4.0342445443109369</v>
      </c>
      <c r="Q118" s="166">
        <v>0.46818750000000003</v>
      </c>
      <c r="R118" s="166">
        <v>4.5024320443109369</v>
      </c>
      <c r="S118" s="26"/>
      <c r="T118" s="167">
        <f t="shared" si="11"/>
        <v>3.7737878312902198</v>
      </c>
      <c r="U118" s="167">
        <f t="shared" si="12"/>
        <v>4.3222232465615908</v>
      </c>
    </row>
    <row r="119" spans="5:21">
      <c r="E119" s="26">
        <f t="shared" si="9"/>
        <v>2026</v>
      </c>
      <c r="F119" s="26">
        <f t="shared" si="10"/>
        <v>9</v>
      </c>
      <c r="G119" s="165">
        <v>46266</v>
      </c>
      <c r="H119" s="26" t="s">
        <v>240</v>
      </c>
      <c r="I119" s="26"/>
      <c r="J119" s="166">
        <v>3.3207426746383688</v>
      </c>
      <c r="K119" s="166">
        <v>0.17129999999999992</v>
      </c>
      <c r="L119" s="166">
        <v>3.4920426746383688</v>
      </c>
      <c r="M119" s="166">
        <v>3.3207426746383688</v>
      </c>
      <c r="N119" s="166">
        <v>1.0058187458141103</v>
      </c>
      <c r="O119" s="166">
        <v>4.3265614204524789</v>
      </c>
      <c r="P119" s="166">
        <v>3.6755775381161162</v>
      </c>
      <c r="Q119" s="166">
        <v>0.46818750000000003</v>
      </c>
      <c r="R119" s="166">
        <v>4.1437650381161166</v>
      </c>
      <c r="S119" s="26"/>
      <c r="T119" s="167">
        <f t="shared" si="11"/>
        <v>3.4390209624642849</v>
      </c>
      <c r="U119" s="167">
        <f t="shared" si="12"/>
        <v>3.9874563777356546</v>
      </c>
    </row>
    <row r="120" spans="5:21">
      <c r="E120" s="26">
        <f t="shared" si="9"/>
        <v>2026</v>
      </c>
      <c r="F120" s="26">
        <f t="shared" si="10"/>
        <v>10</v>
      </c>
      <c r="G120" s="165">
        <v>46296</v>
      </c>
      <c r="H120" s="26" t="s">
        <v>241</v>
      </c>
      <c r="I120" s="26"/>
      <c r="J120" s="166">
        <v>3.3537524364897275</v>
      </c>
      <c r="K120" s="166">
        <v>0.17129999999999992</v>
      </c>
      <c r="L120" s="166">
        <v>3.5250524364897275</v>
      </c>
      <c r="M120" s="166">
        <v>3.3537524364897275</v>
      </c>
      <c r="N120" s="166">
        <v>1.0058187458141103</v>
      </c>
      <c r="O120" s="166">
        <v>4.3595711823038377</v>
      </c>
      <c r="P120" s="166">
        <v>3.7108677784956203</v>
      </c>
      <c r="Q120" s="166">
        <v>0.46818750000000003</v>
      </c>
      <c r="R120" s="166">
        <v>4.1790552784956203</v>
      </c>
      <c r="S120" s="26"/>
      <c r="T120" s="167">
        <f t="shared" si="11"/>
        <v>3.472790883825025</v>
      </c>
      <c r="U120" s="167">
        <f t="shared" si="12"/>
        <v>4.0212262990963952</v>
      </c>
    </row>
    <row r="121" spans="5:21">
      <c r="E121" s="26">
        <f t="shared" si="9"/>
        <v>2026</v>
      </c>
      <c r="F121" s="26">
        <f t="shared" si="10"/>
        <v>11</v>
      </c>
      <c r="G121" s="165">
        <v>46327</v>
      </c>
      <c r="H121" s="26" t="s">
        <v>242</v>
      </c>
      <c r="I121" s="26"/>
      <c r="J121" s="166">
        <v>3.2923518831187861</v>
      </c>
      <c r="K121" s="166">
        <v>0.17129999999999992</v>
      </c>
      <c r="L121" s="166">
        <v>3.4636518831187861</v>
      </c>
      <c r="M121" s="166">
        <v>3.2923518831187861</v>
      </c>
      <c r="N121" s="166">
        <v>1.0058187458141103</v>
      </c>
      <c r="O121" s="166">
        <v>4.2981706289328967</v>
      </c>
      <c r="P121" s="166">
        <v>3.6417065220565372</v>
      </c>
      <c r="Q121" s="166">
        <v>0.46818750000000003</v>
      </c>
      <c r="R121" s="166">
        <v>4.1098940220565376</v>
      </c>
      <c r="S121" s="26"/>
      <c r="T121" s="167">
        <f t="shared" si="11"/>
        <v>3.4088034294313698</v>
      </c>
      <c r="U121" s="167">
        <f t="shared" si="12"/>
        <v>3.95723884470274</v>
      </c>
    </row>
    <row r="122" spans="5:21">
      <c r="E122" s="26">
        <f t="shared" si="9"/>
        <v>2026</v>
      </c>
      <c r="F122" s="26">
        <f t="shared" si="10"/>
        <v>12</v>
      </c>
      <c r="G122" s="165">
        <v>46357</v>
      </c>
      <c r="H122" s="26" t="s">
        <v>243</v>
      </c>
      <c r="I122" s="26"/>
      <c r="J122" s="166">
        <v>3.6402525648477755</v>
      </c>
      <c r="K122" s="166">
        <v>0.17129999999999992</v>
      </c>
      <c r="L122" s="166">
        <v>3.8115525648477755</v>
      </c>
      <c r="M122" s="166">
        <v>3.6402525648477755</v>
      </c>
      <c r="N122" s="166">
        <v>1.0058187458141103</v>
      </c>
      <c r="O122" s="166">
        <v>4.6460713106618856</v>
      </c>
      <c r="P122" s="166">
        <v>4.0251728851570725</v>
      </c>
      <c r="Q122" s="166">
        <v>0.46818750000000003</v>
      </c>
      <c r="R122" s="166">
        <v>4.4933603851570725</v>
      </c>
      <c r="S122" s="26"/>
      <c r="T122" s="167">
        <f t="shared" si="11"/>
        <v>3.768559338284208</v>
      </c>
      <c r="U122" s="167">
        <f t="shared" si="12"/>
        <v>4.3169947535555773</v>
      </c>
    </row>
    <row r="123" spans="5:21">
      <c r="E123" s="26">
        <f t="shared" si="9"/>
        <v>2027</v>
      </c>
      <c r="F123" s="26">
        <f t="shared" si="10"/>
        <v>1</v>
      </c>
      <c r="G123" s="165">
        <v>46388</v>
      </c>
      <c r="H123" s="26" t="s">
        <v>244</v>
      </c>
      <c r="I123" s="26"/>
      <c r="J123" s="166">
        <v>3.8778540431593389</v>
      </c>
      <c r="K123" s="166">
        <v>0.17129999999999992</v>
      </c>
      <c r="L123" s="166">
        <v>4.0491540431593389</v>
      </c>
      <c r="M123" s="166">
        <v>3.8778540431593389</v>
      </c>
      <c r="N123" s="166">
        <v>1.0058187458141103</v>
      </c>
      <c r="O123" s="166">
        <v>4.883672788973449</v>
      </c>
      <c r="P123" s="166">
        <v>4.2864613263648899</v>
      </c>
      <c r="Q123" s="166">
        <v>0.46818750000000003</v>
      </c>
      <c r="R123" s="166">
        <v>4.7546488263648898</v>
      </c>
      <c r="S123" s="26"/>
      <c r="T123" s="167">
        <f t="shared" si="11"/>
        <v>4.0140564708945226</v>
      </c>
      <c r="U123" s="167">
        <f t="shared" si="12"/>
        <v>4.5624918861658932</v>
      </c>
    </row>
    <row r="124" spans="5:21">
      <c r="E124" s="26">
        <f t="shared" si="9"/>
        <v>2027</v>
      </c>
      <c r="F124" s="26">
        <f t="shared" si="10"/>
        <v>2</v>
      </c>
      <c r="G124" s="165">
        <v>46419</v>
      </c>
      <c r="H124" s="26" t="s">
        <v>245</v>
      </c>
      <c r="I124" s="26"/>
      <c r="J124" s="166">
        <v>3.9590057646707111</v>
      </c>
      <c r="K124" s="166">
        <v>0.17129999999999992</v>
      </c>
      <c r="L124" s="166">
        <v>4.1303057646707106</v>
      </c>
      <c r="M124" s="166">
        <v>3.9590057646707111</v>
      </c>
      <c r="N124" s="166">
        <v>1.0058187458141103</v>
      </c>
      <c r="O124" s="166">
        <v>4.9648245104848217</v>
      </c>
      <c r="P124" s="166">
        <v>4.374698416228588</v>
      </c>
      <c r="Q124" s="166">
        <v>0.46818750000000003</v>
      </c>
      <c r="R124" s="166">
        <v>4.842885916228588</v>
      </c>
      <c r="S124" s="26"/>
      <c r="T124" s="167">
        <f t="shared" si="11"/>
        <v>4.0975699818566698</v>
      </c>
      <c r="U124" s="167">
        <f t="shared" si="12"/>
        <v>4.6460053971280404</v>
      </c>
    </row>
    <row r="125" spans="5:21">
      <c r="E125" s="26">
        <f t="shared" si="9"/>
        <v>2027</v>
      </c>
      <c r="F125" s="26">
        <f t="shared" si="10"/>
        <v>3</v>
      </c>
      <c r="G125" s="165">
        <v>46447</v>
      </c>
      <c r="H125" s="26" t="s">
        <v>246</v>
      </c>
      <c r="I125" s="26"/>
      <c r="J125" s="166">
        <v>3.5370551933734244</v>
      </c>
      <c r="K125" s="166">
        <v>0.17129999999999992</v>
      </c>
      <c r="L125" s="166">
        <v>3.7083551933734245</v>
      </c>
      <c r="M125" s="166">
        <v>3.5370551933734244</v>
      </c>
      <c r="N125" s="166">
        <v>1.0058187458141103</v>
      </c>
      <c r="O125" s="166">
        <v>4.542873939187535</v>
      </c>
      <c r="P125" s="166">
        <v>3.9071353856406974</v>
      </c>
      <c r="Q125" s="166">
        <v>0.46818750000000003</v>
      </c>
      <c r="R125" s="166">
        <v>4.3753228856406974</v>
      </c>
      <c r="S125" s="26"/>
      <c r="T125" s="167">
        <f t="shared" si="11"/>
        <v>3.6604152574625153</v>
      </c>
      <c r="U125" s="167">
        <f t="shared" si="12"/>
        <v>4.2088506727338855</v>
      </c>
    </row>
    <row r="126" spans="5:21">
      <c r="E126" s="26">
        <f t="shared" si="9"/>
        <v>2027</v>
      </c>
      <c r="F126" s="26">
        <f t="shared" si="10"/>
        <v>4</v>
      </c>
      <c r="G126" s="165">
        <v>46478</v>
      </c>
      <c r="H126" s="26" t="s">
        <v>247</v>
      </c>
      <c r="I126" s="26"/>
      <c r="J126" s="166">
        <v>3.5330534461923602</v>
      </c>
      <c r="K126" s="166">
        <v>0.17129999999999992</v>
      </c>
      <c r="L126" s="166">
        <v>3.7043534461923602</v>
      </c>
      <c r="M126" s="166">
        <v>3.5330534461923602</v>
      </c>
      <c r="N126" s="166">
        <v>1.0058187458141103</v>
      </c>
      <c r="O126" s="166">
        <v>4.5388721920064707</v>
      </c>
      <c r="P126" s="166">
        <v>3.9014098307570575</v>
      </c>
      <c r="Q126" s="166">
        <v>0.46818750000000003</v>
      </c>
      <c r="R126" s="166">
        <v>4.3695973307570579</v>
      </c>
      <c r="S126" s="26"/>
      <c r="T126" s="167">
        <f t="shared" si="11"/>
        <v>3.6558389077139259</v>
      </c>
      <c r="U126" s="167">
        <f t="shared" si="12"/>
        <v>4.2042743229852961</v>
      </c>
    </row>
    <row r="127" spans="5:21">
      <c r="E127" s="26">
        <f t="shared" si="9"/>
        <v>2027</v>
      </c>
      <c r="F127" s="26">
        <f t="shared" si="10"/>
        <v>5</v>
      </c>
      <c r="G127" s="165">
        <v>46508</v>
      </c>
      <c r="H127" s="26" t="s">
        <v>248</v>
      </c>
      <c r="I127" s="26"/>
      <c r="J127" s="166">
        <v>3.7179609931021371</v>
      </c>
      <c r="K127" s="166">
        <v>0.17129999999999992</v>
      </c>
      <c r="L127" s="166">
        <v>3.8892609931021371</v>
      </c>
      <c r="M127" s="166">
        <v>3.7179609931021371</v>
      </c>
      <c r="N127" s="166">
        <v>1.0058187458141103</v>
      </c>
      <c r="O127" s="166">
        <v>4.7237797389162477</v>
      </c>
      <c r="P127" s="166">
        <v>4.1042238859972686</v>
      </c>
      <c r="Q127" s="166">
        <v>0.46818750000000003</v>
      </c>
      <c r="R127" s="166">
        <v>4.5724113859972686</v>
      </c>
      <c r="S127" s="26"/>
      <c r="T127" s="167">
        <f t="shared" si="11"/>
        <v>3.8467152907338473</v>
      </c>
      <c r="U127" s="167">
        <f t="shared" si="12"/>
        <v>4.395150706005218</v>
      </c>
    </row>
    <row r="128" spans="5:21">
      <c r="E128" s="26">
        <f t="shared" si="9"/>
        <v>2027</v>
      </c>
      <c r="F128" s="26">
        <f t="shared" si="10"/>
        <v>6</v>
      </c>
      <c r="G128" s="165">
        <v>46539</v>
      </c>
      <c r="H128" s="26" t="s">
        <v>249</v>
      </c>
      <c r="I128" s="26"/>
      <c r="J128" s="166">
        <v>3.6016663906175594</v>
      </c>
      <c r="K128" s="166">
        <v>0.17129999999999992</v>
      </c>
      <c r="L128" s="166">
        <v>3.7729663906175595</v>
      </c>
      <c r="M128" s="166">
        <v>3.6016663906175594</v>
      </c>
      <c r="N128" s="166">
        <v>1.0058187458141103</v>
      </c>
      <c r="O128" s="166">
        <v>4.60748513643167</v>
      </c>
      <c r="P128" s="166">
        <v>3.9780577656567839</v>
      </c>
      <c r="Q128" s="166">
        <v>0.46818750000000003</v>
      </c>
      <c r="R128" s="166">
        <v>4.4462452656567839</v>
      </c>
      <c r="S128" s="26"/>
      <c r="T128" s="167">
        <f t="shared" si="11"/>
        <v>3.7271301822973011</v>
      </c>
      <c r="U128" s="167">
        <f t="shared" si="12"/>
        <v>4.2755655975686713</v>
      </c>
    </row>
    <row r="129" spans="5:21">
      <c r="E129" s="26">
        <f t="shared" si="9"/>
        <v>2027</v>
      </c>
      <c r="F129" s="26">
        <f t="shared" si="10"/>
        <v>7</v>
      </c>
      <c r="G129" s="165">
        <v>46569</v>
      </c>
      <c r="H129" s="26" t="s">
        <v>250</v>
      </c>
      <c r="I129" s="26"/>
      <c r="J129" s="166">
        <v>3.638789247967694</v>
      </c>
      <c r="K129" s="166">
        <v>0.17129999999999992</v>
      </c>
      <c r="L129" s="166">
        <v>3.810089247967694</v>
      </c>
      <c r="M129" s="166">
        <v>3.638789247967694</v>
      </c>
      <c r="N129" s="166">
        <v>1.0058187458141103</v>
      </c>
      <c r="O129" s="166">
        <v>4.6446079937818041</v>
      </c>
      <c r="P129" s="166">
        <v>4.0183139886957111</v>
      </c>
      <c r="Q129" s="166">
        <v>0.46818750000000003</v>
      </c>
      <c r="R129" s="166">
        <v>4.4865014886957111</v>
      </c>
      <c r="S129" s="26"/>
      <c r="T129" s="167">
        <f t="shared" si="11"/>
        <v>3.7652974948770335</v>
      </c>
      <c r="U129" s="167">
        <f t="shared" si="12"/>
        <v>4.3137329101484028</v>
      </c>
    </row>
    <row r="130" spans="5:21">
      <c r="E130" s="26">
        <f t="shared" si="9"/>
        <v>2027</v>
      </c>
      <c r="F130" s="26">
        <f t="shared" si="10"/>
        <v>8</v>
      </c>
      <c r="G130" s="165">
        <v>46600</v>
      </c>
      <c r="H130" s="26" t="s">
        <v>251</v>
      </c>
      <c r="I130" s="26"/>
      <c r="J130" s="166">
        <v>3.6678600308879523</v>
      </c>
      <c r="K130" s="166">
        <v>0.17129999999999992</v>
      </c>
      <c r="L130" s="166">
        <v>3.8391600308879523</v>
      </c>
      <c r="M130" s="166">
        <v>3.6678600308879523</v>
      </c>
      <c r="N130" s="166">
        <v>1.0058187458141103</v>
      </c>
      <c r="O130" s="166">
        <v>4.6736787767020624</v>
      </c>
      <c r="P130" s="166">
        <v>4.0496655850555827</v>
      </c>
      <c r="Q130" s="166">
        <v>0.46818750000000003</v>
      </c>
      <c r="R130" s="166">
        <v>4.5178530850555827</v>
      </c>
      <c r="S130" s="26"/>
      <c r="T130" s="167">
        <f t="shared" si="11"/>
        <v>3.7951285489438291</v>
      </c>
      <c r="U130" s="167">
        <f t="shared" si="12"/>
        <v>4.3435639642151989</v>
      </c>
    </row>
    <row r="131" spans="5:21">
      <c r="E131" s="26">
        <f t="shared" si="9"/>
        <v>2027</v>
      </c>
      <c r="F131" s="26">
        <f t="shared" si="10"/>
        <v>9</v>
      </c>
      <c r="G131" s="165">
        <v>46631</v>
      </c>
      <c r="H131" s="26" t="s">
        <v>252</v>
      </c>
      <c r="I131" s="26"/>
      <c r="J131" s="166">
        <v>3.3430102520039378</v>
      </c>
      <c r="K131" s="166">
        <v>0.17129999999999992</v>
      </c>
      <c r="L131" s="166">
        <v>3.5143102520039378</v>
      </c>
      <c r="M131" s="166">
        <v>3.3430102520039378</v>
      </c>
      <c r="N131" s="166">
        <v>1.0058187458141103</v>
      </c>
      <c r="O131" s="166">
        <v>4.3488289978180479</v>
      </c>
      <c r="P131" s="166">
        <v>3.6903166470571001</v>
      </c>
      <c r="Q131" s="166">
        <v>0.46818750000000003</v>
      </c>
      <c r="R131" s="166">
        <v>4.1585041470571005</v>
      </c>
      <c r="S131" s="26"/>
      <c r="T131" s="167">
        <f t="shared" si="11"/>
        <v>3.4587790503549916</v>
      </c>
      <c r="U131" s="167">
        <f t="shared" si="12"/>
        <v>4.0072144656263617</v>
      </c>
    </row>
    <row r="132" spans="5:21">
      <c r="E132" s="26">
        <f t="shared" ref="E132:E195" si="13">YEAR(G132)</f>
        <v>2027</v>
      </c>
      <c r="F132" s="26">
        <f t="shared" ref="F132:F195" si="14">MONTH(G132)</f>
        <v>10</v>
      </c>
      <c r="G132" s="165">
        <v>46661</v>
      </c>
      <c r="H132" s="26" t="s">
        <v>253</v>
      </c>
      <c r="I132" s="26"/>
      <c r="J132" s="166">
        <v>3.3763624625480615</v>
      </c>
      <c r="K132" s="166">
        <v>0.17129999999999992</v>
      </c>
      <c r="L132" s="166">
        <v>3.5476624625480615</v>
      </c>
      <c r="M132" s="166">
        <v>3.3763624625480615</v>
      </c>
      <c r="N132" s="166">
        <v>1.0058187458141103</v>
      </c>
      <c r="O132" s="166">
        <v>4.3821812083621721</v>
      </c>
      <c r="P132" s="166">
        <v>3.7264438346759428</v>
      </c>
      <c r="Q132" s="166">
        <v>0.46818750000000003</v>
      </c>
      <c r="R132" s="166">
        <v>4.1946313346759432</v>
      </c>
      <c r="S132" s="26"/>
      <c r="T132" s="167">
        <f t="shared" ref="T132:T195" si="15">AVERAGE(J132,M132,P132)</f>
        <v>3.4930562532573552</v>
      </c>
      <c r="U132" s="167">
        <f t="shared" ref="U132:U195" si="16">AVERAGE(L132,O132,R132)</f>
        <v>4.0414916685287254</v>
      </c>
    </row>
    <row r="133" spans="5:21">
      <c r="E133" s="26">
        <f t="shared" si="13"/>
        <v>2027</v>
      </c>
      <c r="F133" s="26">
        <f t="shared" si="14"/>
        <v>11</v>
      </c>
      <c r="G133" s="165">
        <v>46692</v>
      </c>
      <c r="H133" s="26" t="s">
        <v>254</v>
      </c>
      <c r="I133" s="26"/>
      <c r="J133" s="166">
        <v>3.3146667201137174</v>
      </c>
      <c r="K133" s="166">
        <v>0.17129999999999992</v>
      </c>
      <c r="L133" s="166">
        <v>3.4859667201137174</v>
      </c>
      <c r="M133" s="166">
        <v>3.3146667201137174</v>
      </c>
      <c r="N133" s="166">
        <v>1.0058187458141103</v>
      </c>
      <c r="O133" s="166">
        <v>4.3204854659278276</v>
      </c>
      <c r="P133" s="166">
        <v>3.6576744881619274</v>
      </c>
      <c r="Q133" s="166">
        <v>0.46818750000000003</v>
      </c>
      <c r="R133" s="166">
        <v>4.1258619881619278</v>
      </c>
      <c r="S133" s="26"/>
      <c r="T133" s="167">
        <f t="shared" si="15"/>
        <v>3.4290026427964544</v>
      </c>
      <c r="U133" s="167">
        <f t="shared" si="16"/>
        <v>3.9774380580678241</v>
      </c>
    </row>
    <row r="134" spans="5:21">
      <c r="E134" s="26">
        <f t="shared" si="13"/>
        <v>2027</v>
      </c>
      <c r="F134" s="26">
        <f t="shared" si="14"/>
        <v>12</v>
      </c>
      <c r="G134" s="165">
        <v>46722</v>
      </c>
      <c r="H134" s="26" t="s">
        <v>255</v>
      </c>
      <c r="I134" s="26"/>
      <c r="J134" s="166">
        <v>3.6650565619291204</v>
      </c>
      <c r="K134" s="166">
        <v>0.17129999999999992</v>
      </c>
      <c r="L134" s="166">
        <v>3.8363565619291204</v>
      </c>
      <c r="M134" s="166">
        <v>3.6650565619291204</v>
      </c>
      <c r="N134" s="166">
        <v>1.0058187458141103</v>
      </c>
      <c r="O134" s="166">
        <v>4.6708753077432306</v>
      </c>
      <c r="P134" s="166">
        <v>4.0435760078561076</v>
      </c>
      <c r="Q134" s="166">
        <v>0.46818750000000003</v>
      </c>
      <c r="R134" s="166">
        <v>4.5117635078561076</v>
      </c>
      <c r="S134" s="26"/>
      <c r="T134" s="167">
        <f t="shared" si="15"/>
        <v>3.7912297105714496</v>
      </c>
      <c r="U134" s="167">
        <f t="shared" si="16"/>
        <v>4.3396651258428198</v>
      </c>
    </row>
    <row r="135" spans="5:21">
      <c r="E135" s="26">
        <f t="shared" si="13"/>
        <v>2028</v>
      </c>
      <c r="F135" s="26">
        <f t="shared" si="14"/>
        <v>1</v>
      </c>
      <c r="G135" s="165">
        <v>46753</v>
      </c>
      <c r="H135" s="26" t="s">
        <v>256</v>
      </c>
      <c r="I135" s="26"/>
      <c r="J135" s="166">
        <v>3.9044165915912172</v>
      </c>
      <c r="K135" s="166">
        <v>0.17129999999999992</v>
      </c>
      <c r="L135" s="166">
        <v>4.0757165915912168</v>
      </c>
      <c r="M135" s="166">
        <v>3.9044165915912172</v>
      </c>
      <c r="N135" s="166">
        <v>1.0058187458141103</v>
      </c>
      <c r="O135" s="166">
        <v>4.9102353374053278</v>
      </c>
      <c r="P135" s="166">
        <v>4.3068614342807239</v>
      </c>
      <c r="Q135" s="166">
        <v>0.46818750000000003</v>
      </c>
      <c r="R135" s="166">
        <v>4.7750489342807239</v>
      </c>
      <c r="S135" s="26"/>
      <c r="T135" s="167">
        <f t="shared" si="15"/>
        <v>4.0385648724877194</v>
      </c>
      <c r="U135" s="167">
        <f t="shared" si="16"/>
        <v>4.5870002877590901</v>
      </c>
    </row>
    <row r="136" spans="5:21">
      <c r="E136" s="26">
        <f t="shared" si="13"/>
        <v>2028</v>
      </c>
      <c r="F136" s="26">
        <f t="shared" si="14"/>
        <v>2</v>
      </c>
      <c r="G136" s="165">
        <v>46784</v>
      </c>
      <c r="H136" s="26" t="s">
        <v>257</v>
      </c>
      <c r="I136" s="26"/>
      <c r="J136" s="166">
        <v>3.986266536774</v>
      </c>
      <c r="K136" s="166">
        <v>0.17129999999999992</v>
      </c>
      <c r="L136" s="166">
        <v>4.1575665367739996</v>
      </c>
      <c r="M136" s="166">
        <v>3.986266536774</v>
      </c>
      <c r="N136" s="166">
        <v>1.0058187458141103</v>
      </c>
      <c r="O136" s="166">
        <v>4.9920852825881106</v>
      </c>
      <c r="P136" s="166">
        <v>4.3963370351746072</v>
      </c>
      <c r="Q136" s="166">
        <v>0.46818750000000003</v>
      </c>
      <c r="R136" s="166">
        <v>4.8645245351746071</v>
      </c>
      <c r="S136" s="26"/>
      <c r="T136" s="167">
        <f t="shared" si="15"/>
        <v>4.122956702907536</v>
      </c>
      <c r="U136" s="167">
        <f t="shared" si="16"/>
        <v>4.6713921181789049</v>
      </c>
    </row>
    <row r="137" spans="5:21">
      <c r="E137" s="26">
        <f t="shared" si="13"/>
        <v>2028</v>
      </c>
      <c r="F137" s="26">
        <f t="shared" si="14"/>
        <v>3</v>
      </c>
      <c r="G137" s="165">
        <v>46813</v>
      </c>
      <c r="H137" s="26" t="s">
        <v>258</v>
      </c>
      <c r="I137" s="26"/>
      <c r="J137" s="166">
        <v>3.5615375585032352</v>
      </c>
      <c r="K137" s="166">
        <v>0.17129999999999992</v>
      </c>
      <c r="L137" s="166">
        <v>3.7328375585032352</v>
      </c>
      <c r="M137" s="166">
        <v>3.5615375585032352</v>
      </c>
      <c r="N137" s="166">
        <v>1.0058187458141103</v>
      </c>
      <c r="O137" s="166">
        <v>4.5673563043173457</v>
      </c>
      <c r="P137" s="166">
        <v>3.9271920957523871</v>
      </c>
      <c r="Q137" s="166">
        <v>0.46818750000000003</v>
      </c>
      <c r="R137" s="166">
        <v>4.3953795957523871</v>
      </c>
      <c r="S137" s="26"/>
      <c r="T137" s="167">
        <f t="shared" si="15"/>
        <v>3.6834224042529526</v>
      </c>
      <c r="U137" s="167">
        <f t="shared" si="16"/>
        <v>4.2318578195243228</v>
      </c>
    </row>
    <row r="138" spans="5:21">
      <c r="E138" s="26">
        <f t="shared" si="13"/>
        <v>2028</v>
      </c>
      <c r="F138" s="26">
        <f t="shared" si="14"/>
        <v>4</v>
      </c>
      <c r="G138" s="165">
        <v>46844</v>
      </c>
      <c r="H138" s="26" t="s">
        <v>259</v>
      </c>
      <c r="I138" s="26"/>
      <c r="J138" s="166">
        <v>3.5576348793016299</v>
      </c>
      <c r="K138" s="166">
        <v>0.17129999999999992</v>
      </c>
      <c r="L138" s="166">
        <v>3.7289348793016299</v>
      </c>
      <c r="M138" s="166">
        <v>3.5576348793016299</v>
      </c>
      <c r="N138" s="166">
        <v>1.0058187458141103</v>
      </c>
      <c r="O138" s="166">
        <v>4.5634536251157405</v>
      </c>
      <c r="P138" s="166">
        <v>3.9221666006664191</v>
      </c>
      <c r="Q138" s="166">
        <v>0.46818750000000003</v>
      </c>
      <c r="R138" s="166">
        <v>4.3903541006664195</v>
      </c>
      <c r="S138" s="26"/>
      <c r="T138" s="167">
        <f t="shared" si="15"/>
        <v>3.6791454530898928</v>
      </c>
      <c r="U138" s="167">
        <f t="shared" si="16"/>
        <v>4.2275808683612635</v>
      </c>
    </row>
    <row r="139" spans="5:21">
      <c r="E139" s="26">
        <f t="shared" si="13"/>
        <v>2028</v>
      </c>
      <c r="F139" s="26">
        <f t="shared" si="14"/>
        <v>5</v>
      </c>
      <c r="G139" s="165">
        <v>46874</v>
      </c>
      <c r="H139" s="26" t="s">
        <v>260</v>
      </c>
      <c r="I139" s="26"/>
      <c r="J139" s="166">
        <v>3.7439621924214124</v>
      </c>
      <c r="K139" s="166">
        <v>0.17129999999999992</v>
      </c>
      <c r="L139" s="166">
        <v>3.9152621924214124</v>
      </c>
      <c r="M139" s="166">
        <v>3.7439621924214124</v>
      </c>
      <c r="N139" s="166">
        <v>1.0058187458141103</v>
      </c>
      <c r="O139" s="166">
        <v>4.7497809382355225</v>
      </c>
      <c r="P139" s="166">
        <v>4.1268267683991455</v>
      </c>
      <c r="Q139" s="166">
        <v>0.46818750000000003</v>
      </c>
      <c r="R139" s="166">
        <v>4.5950142683991455</v>
      </c>
      <c r="S139" s="26"/>
      <c r="T139" s="167">
        <f t="shared" si="15"/>
        <v>3.8715837177473236</v>
      </c>
      <c r="U139" s="167">
        <f t="shared" si="16"/>
        <v>4.4200191330186938</v>
      </c>
    </row>
    <row r="140" spans="5:21">
      <c r="E140" s="26">
        <f t="shared" si="13"/>
        <v>2028</v>
      </c>
      <c r="F140" s="26">
        <f t="shared" si="14"/>
        <v>6</v>
      </c>
      <c r="G140" s="165">
        <v>46905</v>
      </c>
      <c r="H140" s="26" t="s">
        <v>261</v>
      </c>
      <c r="I140" s="26"/>
      <c r="J140" s="166">
        <v>3.6289017940975863</v>
      </c>
      <c r="K140" s="166">
        <v>0.17129999999999992</v>
      </c>
      <c r="L140" s="166">
        <v>3.8002017940975863</v>
      </c>
      <c r="M140" s="166">
        <v>3.6289017940975863</v>
      </c>
      <c r="N140" s="166">
        <v>1.0058187458141103</v>
      </c>
      <c r="O140" s="166">
        <v>4.6347205399116964</v>
      </c>
      <c r="P140" s="166">
        <v>3.9995298521119342</v>
      </c>
      <c r="Q140" s="166">
        <v>0.46818750000000003</v>
      </c>
      <c r="R140" s="166">
        <v>4.4677173521119347</v>
      </c>
      <c r="S140" s="26"/>
      <c r="T140" s="167">
        <f t="shared" si="15"/>
        <v>3.7524444801023691</v>
      </c>
      <c r="U140" s="167">
        <f t="shared" si="16"/>
        <v>4.3008798953737388</v>
      </c>
    </row>
    <row r="141" spans="5:21">
      <c r="E141" s="26">
        <f t="shared" si="13"/>
        <v>2028</v>
      </c>
      <c r="F141" s="26">
        <f t="shared" si="14"/>
        <v>7</v>
      </c>
      <c r="G141" s="165">
        <v>46935</v>
      </c>
      <c r="H141" s="26" t="s">
        <v>262</v>
      </c>
      <c r="I141" s="26"/>
      <c r="J141" s="166">
        <v>3.6667572569563411</v>
      </c>
      <c r="K141" s="166">
        <v>0.17129999999999992</v>
      </c>
      <c r="L141" s="166">
        <v>3.8380572569563411</v>
      </c>
      <c r="M141" s="166">
        <v>3.6667572569563411</v>
      </c>
      <c r="N141" s="166">
        <v>1.0058187458141103</v>
      </c>
      <c r="O141" s="166">
        <v>4.6725760027704517</v>
      </c>
      <c r="P141" s="166">
        <v>4.0405548277667762</v>
      </c>
      <c r="Q141" s="166">
        <v>0.46818750000000003</v>
      </c>
      <c r="R141" s="166">
        <v>4.5087423277667762</v>
      </c>
      <c r="S141" s="26"/>
      <c r="T141" s="167">
        <f t="shared" si="15"/>
        <v>3.791356447226486</v>
      </c>
      <c r="U141" s="167">
        <f t="shared" si="16"/>
        <v>4.3397918624978571</v>
      </c>
    </row>
    <row r="142" spans="5:21">
      <c r="E142" s="26">
        <f t="shared" si="13"/>
        <v>2028</v>
      </c>
      <c r="F142" s="26">
        <f t="shared" si="14"/>
        <v>8</v>
      </c>
      <c r="G142" s="165">
        <v>46966</v>
      </c>
      <c r="H142" s="26" t="s">
        <v>263</v>
      </c>
      <c r="I142" s="26"/>
      <c r="J142" s="166">
        <v>3.6965064619151442</v>
      </c>
      <c r="K142" s="166">
        <v>0.17129999999999992</v>
      </c>
      <c r="L142" s="166">
        <v>3.8678064619151442</v>
      </c>
      <c r="M142" s="166">
        <v>3.6965064619151442</v>
      </c>
      <c r="N142" s="166">
        <v>1.0058187458141103</v>
      </c>
      <c r="O142" s="166">
        <v>4.7023252077292543</v>
      </c>
      <c r="P142" s="166">
        <v>4.0726352958939511</v>
      </c>
      <c r="Q142" s="166">
        <v>0.46818750000000003</v>
      </c>
      <c r="R142" s="166">
        <v>4.5408227958939511</v>
      </c>
      <c r="S142" s="26"/>
      <c r="T142" s="167">
        <f t="shared" si="15"/>
        <v>3.8218827399080801</v>
      </c>
      <c r="U142" s="167">
        <f t="shared" si="16"/>
        <v>4.3703181551794499</v>
      </c>
    </row>
    <row r="143" spans="5:21">
      <c r="E143" s="26">
        <f t="shared" si="13"/>
        <v>2028</v>
      </c>
      <c r="F143" s="26">
        <f t="shared" si="14"/>
        <v>9</v>
      </c>
      <c r="G143" s="165">
        <v>46997</v>
      </c>
      <c r="H143" s="26" t="s">
        <v>264</v>
      </c>
      <c r="I143" s="26"/>
      <c r="J143" s="166">
        <v>3.3695337840086217</v>
      </c>
      <c r="K143" s="166">
        <v>0.17129999999999992</v>
      </c>
      <c r="L143" s="166">
        <v>3.5408337840086217</v>
      </c>
      <c r="M143" s="166">
        <v>3.3695337840086217</v>
      </c>
      <c r="N143" s="166">
        <v>1.0058187458141103</v>
      </c>
      <c r="O143" s="166">
        <v>4.3753525298227318</v>
      </c>
      <c r="P143" s="166">
        <v>3.7117538117667892</v>
      </c>
      <c r="Q143" s="166">
        <v>0.46818750000000003</v>
      </c>
      <c r="R143" s="166">
        <v>4.1799413117667896</v>
      </c>
      <c r="S143" s="26"/>
      <c r="T143" s="167">
        <f t="shared" si="15"/>
        <v>3.4836071265946775</v>
      </c>
      <c r="U143" s="167">
        <f t="shared" si="16"/>
        <v>4.0320425418660477</v>
      </c>
    </row>
    <row r="144" spans="5:21">
      <c r="E144" s="26">
        <f t="shared" si="13"/>
        <v>2028</v>
      </c>
      <c r="F144" s="26">
        <f t="shared" si="14"/>
        <v>10</v>
      </c>
      <c r="G144" s="165">
        <v>47027</v>
      </c>
      <c r="H144" s="26" t="s">
        <v>265</v>
      </c>
      <c r="I144" s="26"/>
      <c r="J144" s="166">
        <v>3.4035684890758806</v>
      </c>
      <c r="K144" s="166">
        <v>0.17129999999999992</v>
      </c>
      <c r="L144" s="166">
        <v>3.5748684890758806</v>
      </c>
      <c r="M144" s="166">
        <v>3.4035684890758806</v>
      </c>
      <c r="N144" s="166">
        <v>1.0058187458141103</v>
      </c>
      <c r="O144" s="166">
        <v>4.4093872348899907</v>
      </c>
      <c r="P144" s="166">
        <v>3.7486011079327128</v>
      </c>
      <c r="Q144" s="166">
        <v>0.46818750000000003</v>
      </c>
      <c r="R144" s="166">
        <v>4.2167886079327133</v>
      </c>
      <c r="S144" s="26"/>
      <c r="T144" s="167">
        <f t="shared" si="15"/>
        <v>3.518579362028158</v>
      </c>
      <c r="U144" s="167">
        <f t="shared" si="16"/>
        <v>4.0670147772995282</v>
      </c>
    </row>
    <row r="145" spans="5:21">
      <c r="E145" s="26">
        <f t="shared" si="13"/>
        <v>2028</v>
      </c>
      <c r="F145" s="26">
        <f t="shared" si="14"/>
        <v>11</v>
      </c>
      <c r="G145" s="165">
        <v>47058</v>
      </c>
      <c r="H145" s="26" t="s">
        <v>266</v>
      </c>
      <c r="I145" s="26"/>
      <c r="J145" s="166">
        <v>3.3417853935827901</v>
      </c>
      <c r="K145" s="166">
        <v>0.17129999999999992</v>
      </c>
      <c r="L145" s="166">
        <v>3.5130853935827902</v>
      </c>
      <c r="M145" s="166">
        <v>3.3417853935827901</v>
      </c>
      <c r="N145" s="166">
        <v>1.0058187458141103</v>
      </c>
      <c r="O145" s="166">
        <v>4.3476041393969007</v>
      </c>
      <c r="P145" s="166">
        <v>3.6799233101501527</v>
      </c>
      <c r="Q145" s="166">
        <v>0.46818750000000003</v>
      </c>
      <c r="R145" s="166">
        <v>4.1481108101501531</v>
      </c>
      <c r="S145" s="26"/>
      <c r="T145" s="167">
        <f t="shared" si="15"/>
        <v>3.4544980324385777</v>
      </c>
      <c r="U145" s="167">
        <f t="shared" si="16"/>
        <v>4.0029334477099487</v>
      </c>
    </row>
    <row r="146" spans="5:21">
      <c r="E146" s="26">
        <f t="shared" si="13"/>
        <v>2028</v>
      </c>
      <c r="F146" s="26">
        <f t="shared" si="14"/>
        <v>12</v>
      </c>
      <c r="G146" s="165">
        <v>47088</v>
      </c>
      <c r="H146" s="26" t="s">
        <v>267</v>
      </c>
      <c r="I146" s="26"/>
      <c r="J146" s="166">
        <v>3.6954945056706117</v>
      </c>
      <c r="K146" s="166">
        <v>0.17129999999999992</v>
      </c>
      <c r="L146" s="166">
        <v>3.8667945056706117</v>
      </c>
      <c r="M146" s="166">
        <v>3.6954945056706117</v>
      </c>
      <c r="N146" s="166">
        <v>1.0058187458141103</v>
      </c>
      <c r="O146" s="166">
        <v>4.7013132514847218</v>
      </c>
      <c r="P146" s="166">
        <v>4.0687250113507636</v>
      </c>
      <c r="Q146" s="166">
        <v>0.46818750000000003</v>
      </c>
      <c r="R146" s="166">
        <v>4.5369125113507636</v>
      </c>
      <c r="S146" s="26"/>
      <c r="T146" s="167">
        <f t="shared" si="15"/>
        <v>3.8199046742306622</v>
      </c>
      <c r="U146" s="167">
        <f t="shared" si="16"/>
        <v>4.3683400895020323</v>
      </c>
    </row>
    <row r="147" spans="5:21">
      <c r="E147" s="26">
        <f t="shared" si="13"/>
        <v>2029</v>
      </c>
      <c r="F147" s="26">
        <f t="shared" si="14"/>
        <v>1</v>
      </c>
      <c r="G147" s="165">
        <v>47119</v>
      </c>
      <c r="H147" s="26" t="s">
        <v>268</v>
      </c>
      <c r="I147" s="26"/>
      <c r="J147" s="166">
        <v>3.9373239961994733</v>
      </c>
      <c r="K147" s="166">
        <v>0.17129999999999992</v>
      </c>
      <c r="L147" s="166">
        <v>4.1086239961994728</v>
      </c>
      <c r="M147" s="166">
        <v>3.9373239961994733</v>
      </c>
      <c r="N147" s="166">
        <v>1.0058187458141103</v>
      </c>
      <c r="O147" s="166">
        <v>4.9431427420135838</v>
      </c>
      <c r="P147" s="166">
        <v>4.3342363178626782</v>
      </c>
      <c r="Q147" s="166">
        <v>0.46818750000000003</v>
      </c>
      <c r="R147" s="166">
        <v>4.8024238178626781</v>
      </c>
      <c r="S147" s="26"/>
      <c r="T147" s="167">
        <f t="shared" si="15"/>
        <v>4.0696281034205413</v>
      </c>
      <c r="U147" s="167">
        <f t="shared" si="16"/>
        <v>4.6180635186919119</v>
      </c>
    </row>
    <row r="148" spans="5:21">
      <c r="E148" s="26">
        <f t="shared" si="13"/>
        <v>2029</v>
      </c>
      <c r="F148" s="26">
        <f t="shared" si="14"/>
        <v>2</v>
      </c>
      <c r="G148" s="165">
        <v>47150</v>
      </c>
      <c r="H148" s="26" t="s">
        <v>269</v>
      </c>
      <c r="I148" s="26"/>
      <c r="J148" s="166">
        <v>4.020354934018747</v>
      </c>
      <c r="K148" s="166">
        <v>0.17129999999999992</v>
      </c>
      <c r="L148" s="166">
        <v>4.1916549340187466</v>
      </c>
      <c r="M148" s="166">
        <v>4.020354934018747</v>
      </c>
      <c r="N148" s="166">
        <v>1.0058187458141103</v>
      </c>
      <c r="O148" s="166">
        <v>5.0261736798328576</v>
      </c>
      <c r="P148" s="166">
        <v>4.4248807813922708</v>
      </c>
      <c r="Q148" s="166">
        <v>0.46818750000000003</v>
      </c>
      <c r="R148" s="166">
        <v>4.8930682813922708</v>
      </c>
      <c r="S148" s="26"/>
      <c r="T148" s="167">
        <f t="shared" si="15"/>
        <v>4.1551968831432546</v>
      </c>
      <c r="U148" s="167">
        <f t="shared" si="16"/>
        <v>4.7036322984146253</v>
      </c>
    </row>
    <row r="149" spans="5:21">
      <c r="E149" s="26">
        <f t="shared" si="13"/>
        <v>2029</v>
      </c>
      <c r="F149" s="26">
        <f t="shared" si="14"/>
        <v>3</v>
      </c>
      <c r="G149" s="165">
        <v>47178</v>
      </c>
      <c r="H149" s="26" t="s">
        <v>270</v>
      </c>
      <c r="I149" s="26"/>
      <c r="J149" s="166">
        <v>3.5924322195577574</v>
      </c>
      <c r="K149" s="166">
        <v>0.17129999999999992</v>
      </c>
      <c r="L149" s="166">
        <v>3.7637322195577574</v>
      </c>
      <c r="M149" s="166">
        <v>3.5924322195577574</v>
      </c>
      <c r="N149" s="166">
        <v>1.0058187458141103</v>
      </c>
      <c r="O149" s="166">
        <v>4.5982509653718679</v>
      </c>
      <c r="P149" s="166">
        <v>3.9532255586371359</v>
      </c>
      <c r="Q149" s="166">
        <v>0.46818750000000003</v>
      </c>
      <c r="R149" s="166">
        <v>4.4214130586371363</v>
      </c>
      <c r="S149" s="26"/>
      <c r="T149" s="167">
        <f t="shared" si="15"/>
        <v>3.7126966659175502</v>
      </c>
      <c r="U149" s="167">
        <f t="shared" si="16"/>
        <v>4.2611320811889213</v>
      </c>
    </row>
    <row r="150" spans="5:21">
      <c r="E150" s="26">
        <f t="shared" si="13"/>
        <v>2029</v>
      </c>
      <c r="F150" s="26">
        <f t="shared" si="14"/>
        <v>4</v>
      </c>
      <c r="G150" s="165">
        <v>47209</v>
      </c>
      <c r="H150" s="26" t="s">
        <v>271</v>
      </c>
      <c r="I150" s="26"/>
      <c r="J150" s="166">
        <v>3.5889330299142115</v>
      </c>
      <c r="K150" s="166">
        <v>0.17129999999999992</v>
      </c>
      <c r="L150" s="166">
        <v>3.7602330299142115</v>
      </c>
      <c r="M150" s="166">
        <v>3.5889330299142115</v>
      </c>
      <c r="N150" s="166">
        <v>1.0058187458141103</v>
      </c>
      <c r="O150" s="166">
        <v>4.5947517757283221</v>
      </c>
      <c r="P150" s="166">
        <v>3.9487013552186441</v>
      </c>
      <c r="Q150" s="166">
        <v>0.46818750000000003</v>
      </c>
      <c r="R150" s="166">
        <v>4.4168888552186445</v>
      </c>
      <c r="S150" s="26"/>
      <c r="T150" s="167">
        <f t="shared" si="15"/>
        <v>3.708855805015689</v>
      </c>
      <c r="U150" s="167">
        <f t="shared" si="16"/>
        <v>4.2572912202870592</v>
      </c>
    </row>
    <row r="151" spans="5:21">
      <c r="E151" s="26">
        <f t="shared" si="13"/>
        <v>2029</v>
      </c>
      <c r="F151" s="26">
        <f t="shared" si="14"/>
        <v>5</v>
      </c>
      <c r="G151" s="165">
        <v>47239</v>
      </c>
      <c r="H151" s="26" t="s">
        <v>272</v>
      </c>
      <c r="I151" s="26"/>
      <c r="J151" s="166">
        <v>3.7773592813010417</v>
      </c>
      <c r="K151" s="166">
        <v>0.17129999999999992</v>
      </c>
      <c r="L151" s="166">
        <v>3.9486592813010417</v>
      </c>
      <c r="M151" s="166">
        <v>3.7773592813010417</v>
      </c>
      <c r="N151" s="166">
        <v>1.0058187458141103</v>
      </c>
      <c r="O151" s="166">
        <v>4.7831780271151523</v>
      </c>
      <c r="P151" s="166">
        <v>4.1553081925696356</v>
      </c>
      <c r="Q151" s="166">
        <v>0.46818750000000003</v>
      </c>
      <c r="R151" s="166">
        <v>4.6234956925696356</v>
      </c>
      <c r="S151" s="26"/>
      <c r="T151" s="167">
        <f t="shared" si="15"/>
        <v>3.903342251723906</v>
      </c>
      <c r="U151" s="167">
        <f t="shared" si="16"/>
        <v>4.4517776669952767</v>
      </c>
    </row>
    <row r="152" spans="5:21">
      <c r="E152" s="26">
        <f t="shared" si="13"/>
        <v>2029</v>
      </c>
      <c r="F152" s="26">
        <f t="shared" si="14"/>
        <v>6</v>
      </c>
      <c r="G152" s="165">
        <v>47270</v>
      </c>
      <c r="H152" s="26" t="s">
        <v>273</v>
      </c>
      <c r="I152" s="26"/>
      <c r="J152" s="166">
        <v>3.6606526581122329</v>
      </c>
      <c r="K152" s="166">
        <v>0.17129999999999992</v>
      </c>
      <c r="L152" s="166">
        <v>3.831952658112233</v>
      </c>
      <c r="M152" s="166">
        <v>3.6606526581122329</v>
      </c>
      <c r="N152" s="166">
        <v>1.0058187458141103</v>
      </c>
      <c r="O152" s="166">
        <v>4.6664714039263435</v>
      </c>
      <c r="P152" s="166">
        <v>4.0245653295016597</v>
      </c>
      <c r="Q152" s="166">
        <v>0.46818750000000003</v>
      </c>
      <c r="R152" s="166">
        <v>4.4927528295016597</v>
      </c>
      <c r="S152" s="26"/>
      <c r="T152" s="167">
        <f t="shared" si="15"/>
        <v>3.7819568819087088</v>
      </c>
      <c r="U152" s="167">
        <f t="shared" si="16"/>
        <v>4.3303922971800786</v>
      </c>
    </row>
    <row r="153" spans="5:21">
      <c r="E153" s="26">
        <f t="shared" si="13"/>
        <v>2029</v>
      </c>
      <c r="F153" s="26">
        <f t="shared" si="14"/>
        <v>7</v>
      </c>
      <c r="G153" s="165">
        <v>47300</v>
      </c>
      <c r="H153" s="26" t="s">
        <v>274</v>
      </c>
      <c r="I153" s="26"/>
      <c r="J153" s="166">
        <v>3.6991096937565637</v>
      </c>
      <c r="K153" s="166">
        <v>0.17129999999999992</v>
      </c>
      <c r="L153" s="166">
        <v>3.8704096937565637</v>
      </c>
      <c r="M153" s="166">
        <v>3.6991096937565637</v>
      </c>
      <c r="N153" s="166">
        <v>1.0058187458141103</v>
      </c>
      <c r="O153" s="166">
        <v>4.7049284395706739</v>
      </c>
      <c r="P153" s="166">
        <v>4.0658740183705708</v>
      </c>
      <c r="Q153" s="166">
        <v>0.46818750000000003</v>
      </c>
      <c r="R153" s="166">
        <v>4.5340615183705708</v>
      </c>
      <c r="S153" s="26"/>
      <c r="T153" s="167">
        <f t="shared" si="15"/>
        <v>3.8213644686278996</v>
      </c>
      <c r="U153" s="167">
        <f t="shared" si="16"/>
        <v>4.3697998838992698</v>
      </c>
    </row>
    <row r="154" spans="5:21">
      <c r="E154" s="26">
        <f t="shared" si="13"/>
        <v>2029</v>
      </c>
      <c r="F154" s="26">
        <f t="shared" si="14"/>
        <v>8</v>
      </c>
      <c r="G154" s="165">
        <v>47331</v>
      </c>
      <c r="H154" s="26" t="s">
        <v>275</v>
      </c>
      <c r="I154" s="26"/>
      <c r="J154" s="166">
        <v>3.729393558053093</v>
      </c>
      <c r="K154" s="166">
        <v>0.17129999999999992</v>
      </c>
      <c r="L154" s="166">
        <v>3.900693558053093</v>
      </c>
      <c r="M154" s="166">
        <v>3.729393558053093</v>
      </c>
      <c r="N154" s="166">
        <v>1.0058187458141103</v>
      </c>
      <c r="O154" s="166">
        <v>4.7352123038672032</v>
      </c>
      <c r="P154" s="166">
        <v>4.0981826099830689</v>
      </c>
      <c r="Q154" s="166">
        <v>0.46818750000000003</v>
      </c>
      <c r="R154" s="166">
        <v>4.5663701099830689</v>
      </c>
      <c r="S154" s="26"/>
      <c r="T154" s="167">
        <f t="shared" si="15"/>
        <v>3.8523232420297515</v>
      </c>
      <c r="U154" s="167">
        <f t="shared" si="16"/>
        <v>4.4007586573011217</v>
      </c>
    </row>
    <row r="155" spans="5:21">
      <c r="E155" s="26">
        <f t="shared" si="13"/>
        <v>2029</v>
      </c>
      <c r="F155" s="26">
        <f t="shared" si="14"/>
        <v>9</v>
      </c>
      <c r="G155" s="165">
        <v>47362</v>
      </c>
      <c r="H155" s="26" t="s">
        <v>276</v>
      </c>
      <c r="I155" s="26"/>
      <c r="J155" s="166">
        <v>3.3997596284504241</v>
      </c>
      <c r="K155" s="166">
        <v>0.17129999999999992</v>
      </c>
      <c r="L155" s="166">
        <v>3.5710596284504241</v>
      </c>
      <c r="M155" s="166">
        <v>3.3997596284504241</v>
      </c>
      <c r="N155" s="166">
        <v>1.0058187458141103</v>
      </c>
      <c r="O155" s="166">
        <v>4.4055783742645342</v>
      </c>
      <c r="P155" s="166">
        <v>3.7350620173002085</v>
      </c>
      <c r="Q155" s="166">
        <v>0.46818750000000003</v>
      </c>
      <c r="R155" s="166">
        <v>4.2032495173002085</v>
      </c>
      <c r="S155" s="26"/>
      <c r="T155" s="167">
        <f t="shared" si="15"/>
        <v>3.5115270914003518</v>
      </c>
      <c r="U155" s="167">
        <f t="shared" si="16"/>
        <v>4.0599625066717229</v>
      </c>
    </row>
    <row r="156" spans="5:21">
      <c r="E156" s="26">
        <f t="shared" si="13"/>
        <v>2029</v>
      </c>
      <c r="F156" s="26">
        <f t="shared" si="14"/>
        <v>10</v>
      </c>
      <c r="G156" s="165">
        <v>47392</v>
      </c>
      <c r="H156" s="26" t="s">
        <v>277</v>
      </c>
      <c r="I156" s="26"/>
      <c r="J156" s="166">
        <v>3.4343495551040295</v>
      </c>
      <c r="K156" s="166">
        <v>0.17129999999999992</v>
      </c>
      <c r="L156" s="166">
        <v>3.6056495551040295</v>
      </c>
      <c r="M156" s="166">
        <v>3.4343495551040295</v>
      </c>
      <c r="N156" s="166">
        <v>1.0058187458141103</v>
      </c>
      <c r="O156" s="166">
        <v>4.4401683009181401</v>
      </c>
      <c r="P156" s="166">
        <v>3.7721655897551361</v>
      </c>
      <c r="Q156" s="166">
        <v>0.46818750000000003</v>
      </c>
      <c r="R156" s="166">
        <v>4.2403530897551365</v>
      </c>
      <c r="S156" s="26"/>
      <c r="T156" s="167">
        <f t="shared" si="15"/>
        <v>3.5469548999877318</v>
      </c>
      <c r="U156" s="167">
        <f t="shared" si="16"/>
        <v>4.0953903152591025</v>
      </c>
    </row>
    <row r="157" spans="5:21">
      <c r="E157" s="26">
        <f t="shared" si="13"/>
        <v>2029</v>
      </c>
      <c r="F157" s="26">
        <f t="shared" si="14"/>
        <v>11</v>
      </c>
      <c r="G157" s="165">
        <v>47423</v>
      </c>
      <c r="H157" s="26" t="s">
        <v>278</v>
      </c>
      <c r="I157" s="26"/>
      <c r="J157" s="166">
        <v>3.3722527531363151</v>
      </c>
      <c r="K157" s="166">
        <v>0.17129999999999992</v>
      </c>
      <c r="L157" s="166">
        <v>3.5435527531363151</v>
      </c>
      <c r="M157" s="166">
        <v>3.3722527531363151</v>
      </c>
      <c r="N157" s="166">
        <v>1.0058187458141103</v>
      </c>
      <c r="O157" s="166">
        <v>4.3780714989504252</v>
      </c>
      <c r="P157" s="166">
        <v>3.7030804791525918</v>
      </c>
      <c r="Q157" s="166">
        <v>0.46818750000000003</v>
      </c>
      <c r="R157" s="166">
        <v>4.1712679791525922</v>
      </c>
      <c r="S157" s="26"/>
      <c r="T157" s="167">
        <f t="shared" si="15"/>
        <v>3.4825286618084075</v>
      </c>
      <c r="U157" s="167">
        <f t="shared" si="16"/>
        <v>4.0309640770797772</v>
      </c>
    </row>
    <row r="158" spans="5:21">
      <c r="E158" s="26">
        <f t="shared" si="13"/>
        <v>2029</v>
      </c>
      <c r="F158" s="26">
        <f t="shared" si="14"/>
        <v>12</v>
      </c>
      <c r="G158" s="165">
        <v>47453</v>
      </c>
      <c r="H158" s="26" t="s">
        <v>279</v>
      </c>
      <c r="I158" s="26"/>
      <c r="J158" s="166">
        <v>3.7294572730203766</v>
      </c>
      <c r="K158" s="166">
        <v>0.17129999999999992</v>
      </c>
      <c r="L158" s="166">
        <v>3.9007572730203766</v>
      </c>
      <c r="M158" s="166">
        <v>3.7294572730203766</v>
      </c>
      <c r="N158" s="166">
        <v>1.0058187458141103</v>
      </c>
      <c r="O158" s="166">
        <v>4.7352760188344867</v>
      </c>
      <c r="P158" s="166">
        <v>4.0943558085463723</v>
      </c>
      <c r="Q158" s="166">
        <v>0.46818750000000003</v>
      </c>
      <c r="R158" s="166">
        <v>4.5625433085463722</v>
      </c>
      <c r="S158" s="26"/>
      <c r="T158" s="167">
        <f t="shared" si="15"/>
        <v>3.8510901181957085</v>
      </c>
      <c r="U158" s="167">
        <f t="shared" si="16"/>
        <v>4.3995255334670782</v>
      </c>
    </row>
    <row r="159" spans="5:21">
      <c r="E159" s="26">
        <f t="shared" si="13"/>
        <v>2030</v>
      </c>
      <c r="F159" s="26">
        <f t="shared" si="14"/>
        <v>1</v>
      </c>
      <c r="G159" s="165">
        <v>47484</v>
      </c>
      <c r="H159" s="26" t="s">
        <v>280</v>
      </c>
      <c r="I159" s="26"/>
      <c r="J159" s="166">
        <v>3.9737971760824093</v>
      </c>
      <c r="K159" s="166">
        <v>0.17129999999999992</v>
      </c>
      <c r="L159" s="166">
        <v>4.1450971760824089</v>
      </c>
      <c r="M159" s="166">
        <v>3.9737971760824093</v>
      </c>
      <c r="N159" s="166">
        <v>1.0058187458141103</v>
      </c>
      <c r="O159" s="166">
        <v>4.9796159218965199</v>
      </c>
      <c r="P159" s="166">
        <v>4.3615683857400995</v>
      </c>
      <c r="Q159" s="166">
        <v>0.46818750000000003</v>
      </c>
      <c r="R159" s="166">
        <v>4.8297558857400995</v>
      </c>
      <c r="S159" s="26"/>
      <c r="T159" s="167">
        <f t="shared" si="15"/>
        <v>4.1030542459683064</v>
      </c>
      <c r="U159" s="167">
        <f t="shared" si="16"/>
        <v>4.6514896612396761</v>
      </c>
    </row>
    <row r="160" spans="5:21">
      <c r="E160" s="26">
        <f t="shared" si="13"/>
        <v>2030</v>
      </c>
      <c r="F160" s="26">
        <f t="shared" si="14"/>
        <v>2</v>
      </c>
      <c r="G160" s="165">
        <v>47515</v>
      </c>
      <c r="H160" s="26" t="s">
        <v>281</v>
      </c>
      <c r="I160" s="26"/>
      <c r="J160" s="166">
        <v>4.0578908578351625</v>
      </c>
      <c r="K160" s="166">
        <v>0.17129999999999992</v>
      </c>
      <c r="L160" s="166">
        <v>4.229190857835162</v>
      </c>
      <c r="M160" s="166">
        <v>4.0578908578351625</v>
      </c>
      <c r="N160" s="166">
        <v>1.0058187458141103</v>
      </c>
      <c r="O160" s="166">
        <v>5.063709603649273</v>
      </c>
      <c r="P160" s="166">
        <v>4.4528137220431798</v>
      </c>
      <c r="Q160" s="166">
        <v>0.46818750000000003</v>
      </c>
      <c r="R160" s="166">
        <v>4.9210012220431798</v>
      </c>
      <c r="S160" s="26"/>
      <c r="T160" s="167">
        <f t="shared" si="15"/>
        <v>4.1895318125711682</v>
      </c>
      <c r="U160" s="167">
        <f t="shared" si="16"/>
        <v>4.7379672278425389</v>
      </c>
    </row>
    <row r="161" spans="5:21">
      <c r="E161" s="26">
        <f t="shared" si="13"/>
        <v>2030</v>
      </c>
      <c r="F161" s="26">
        <f t="shared" si="14"/>
        <v>3</v>
      </c>
      <c r="G161" s="165">
        <v>47543</v>
      </c>
      <c r="H161" s="26" t="s">
        <v>282</v>
      </c>
      <c r="I161" s="26"/>
      <c r="J161" s="166">
        <v>3.6262348382395539</v>
      </c>
      <c r="K161" s="166">
        <v>0.17129999999999992</v>
      </c>
      <c r="L161" s="166">
        <v>3.797534838239554</v>
      </c>
      <c r="M161" s="166">
        <v>3.6262348382395539</v>
      </c>
      <c r="N161" s="166">
        <v>1.0058187458141103</v>
      </c>
      <c r="O161" s="166">
        <v>4.6320535840536641</v>
      </c>
      <c r="P161" s="166">
        <v>3.9782071969253869</v>
      </c>
      <c r="Q161" s="166">
        <v>0.46818750000000003</v>
      </c>
      <c r="R161" s="166">
        <v>4.4463946969253874</v>
      </c>
      <c r="S161" s="26"/>
      <c r="T161" s="167">
        <f t="shared" si="15"/>
        <v>3.7435589578014983</v>
      </c>
      <c r="U161" s="167">
        <f t="shared" si="16"/>
        <v>4.2919943730728685</v>
      </c>
    </row>
    <row r="162" spans="5:21">
      <c r="E162" s="26">
        <f t="shared" si="13"/>
        <v>2030</v>
      </c>
      <c r="F162" s="26">
        <f t="shared" si="14"/>
        <v>4</v>
      </c>
      <c r="G162" s="165">
        <v>47574</v>
      </c>
      <c r="H162" s="26" t="s">
        <v>283</v>
      </c>
      <c r="I162" s="26"/>
      <c r="J162" s="166">
        <v>3.6229640923620803</v>
      </c>
      <c r="K162" s="166">
        <v>0.17129999999999992</v>
      </c>
      <c r="L162" s="166">
        <v>3.7942640923620803</v>
      </c>
      <c r="M162" s="166">
        <v>3.6229640923620803</v>
      </c>
      <c r="N162" s="166">
        <v>1.0058187458141103</v>
      </c>
      <c r="O162" s="166">
        <v>4.6287828381761909</v>
      </c>
      <c r="P162" s="166">
        <v>3.9736804620894057</v>
      </c>
      <c r="Q162" s="166">
        <v>0.46818750000000003</v>
      </c>
      <c r="R162" s="166">
        <v>4.4418679620894057</v>
      </c>
      <c r="S162" s="26"/>
      <c r="T162" s="167">
        <f t="shared" si="15"/>
        <v>3.7398695489378553</v>
      </c>
      <c r="U162" s="167">
        <f t="shared" si="16"/>
        <v>4.2883049642092255</v>
      </c>
    </row>
    <row r="163" spans="5:21">
      <c r="E163" s="26">
        <f t="shared" si="13"/>
        <v>2030</v>
      </c>
      <c r="F163" s="26">
        <f t="shared" si="14"/>
        <v>5</v>
      </c>
      <c r="G163" s="165">
        <v>47604</v>
      </c>
      <c r="H163" s="26" t="s">
        <v>284</v>
      </c>
      <c r="I163" s="26"/>
      <c r="J163" s="166">
        <v>3.8134517585291268</v>
      </c>
      <c r="K163" s="166">
        <v>0.17129999999999992</v>
      </c>
      <c r="L163" s="166">
        <v>3.9847517585291268</v>
      </c>
      <c r="M163" s="166">
        <v>3.8134517585291268</v>
      </c>
      <c r="N163" s="166">
        <v>1.0058187458141103</v>
      </c>
      <c r="O163" s="166">
        <v>4.8192705043432369</v>
      </c>
      <c r="P163" s="166">
        <v>4.1816216681947829</v>
      </c>
      <c r="Q163" s="166">
        <v>0.46818750000000003</v>
      </c>
      <c r="R163" s="166">
        <v>4.6498091681947828</v>
      </c>
      <c r="S163" s="26"/>
      <c r="T163" s="167">
        <f t="shared" si="15"/>
        <v>3.9361750617510118</v>
      </c>
      <c r="U163" s="167">
        <f t="shared" si="16"/>
        <v>4.4846104770223825</v>
      </c>
    </row>
    <row r="164" spans="5:21">
      <c r="E164" s="26">
        <f t="shared" si="13"/>
        <v>2030</v>
      </c>
      <c r="F164" s="26">
        <f t="shared" si="14"/>
        <v>6</v>
      </c>
      <c r="G164" s="165">
        <v>47635</v>
      </c>
      <c r="H164" s="26" t="s">
        <v>285</v>
      </c>
      <c r="I164" s="26"/>
      <c r="J164" s="166">
        <v>3.6838407355306186</v>
      </c>
      <c r="K164" s="166">
        <v>0.17129999999999992</v>
      </c>
      <c r="L164" s="166">
        <v>3.8551407355306186</v>
      </c>
      <c r="M164" s="166">
        <v>3.6838407355306186</v>
      </c>
      <c r="N164" s="166">
        <v>1.0058187458141103</v>
      </c>
      <c r="O164" s="166">
        <v>4.6896594813447292</v>
      </c>
      <c r="P164" s="166">
        <v>4.040838881800461</v>
      </c>
      <c r="Q164" s="166">
        <v>0.46818750000000003</v>
      </c>
      <c r="R164" s="166">
        <v>4.509026381800461</v>
      </c>
      <c r="S164" s="26"/>
      <c r="T164" s="167">
        <f t="shared" si="15"/>
        <v>3.802840117620566</v>
      </c>
      <c r="U164" s="167">
        <f t="shared" si="16"/>
        <v>4.3512755328919361</v>
      </c>
    </row>
    <row r="165" spans="5:21">
      <c r="E165" s="26">
        <f t="shared" si="13"/>
        <v>2030</v>
      </c>
      <c r="F165" s="26">
        <f t="shared" si="14"/>
        <v>7</v>
      </c>
      <c r="G165" s="165">
        <v>47665</v>
      </c>
      <c r="H165" s="26" t="s">
        <v>286</v>
      </c>
      <c r="I165" s="26"/>
      <c r="J165" s="166">
        <v>3.7207900440782917</v>
      </c>
      <c r="K165" s="166">
        <v>0.17129999999999992</v>
      </c>
      <c r="L165" s="166">
        <v>3.8920900440782917</v>
      </c>
      <c r="M165" s="166">
        <v>3.7207900440782917</v>
      </c>
      <c r="N165" s="166">
        <v>1.0058187458141103</v>
      </c>
      <c r="O165" s="166">
        <v>4.7266087898924019</v>
      </c>
      <c r="P165" s="166">
        <v>4.0807914930638987</v>
      </c>
      <c r="Q165" s="166">
        <v>0.46818750000000003</v>
      </c>
      <c r="R165" s="166">
        <v>4.5489789930638986</v>
      </c>
      <c r="S165" s="26"/>
      <c r="T165" s="167">
        <f t="shared" si="15"/>
        <v>3.8407905270734943</v>
      </c>
      <c r="U165" s="167">
        <f t="shared" si="16"/>
        <v>4.3892259423448641</v>
      </c>
    </row>
    <row r="166" spans="5:21">
      <c r="E166" s="26">
        <f t="shared" si="13"/>
        <v>2030</v>
      </c>
      <c r="F166" s="26">
        <f t="shared" si="14"/>
        <v>8</v>
      </c>
      <c r="G166" s="165">
        <v>47696</v>
      </c>
      <c r="H166" s="26" t="s">
        <v>287</v>
      </c>
      <c r="I166" s="26"/>
      <c r="J166" s="166">
        <v>3.7494884215259288</v>
      </c>
      <c r="K166" s="166">
        <v>0.17129999999999992</v>
      </c>
      <c r="L166" s="166">
        <v>3.9207884215259288</v>
      </c>
      <c r="M166" s="166">
        <v>3.7494884215259288</v>
      </c>
      <c r="N166" s="166">
        <v>1.0058187458141103</v>
      </c>
      <c r="O166" s="166">
        <v>4.7553071673400389</v>
      </c>
      <c r="P166" s="166">
        <v>4.1116850136227097</v>
      </c>
      <c r="Q166" s="166">
        <v>0.46818750000000003</v>
      </c>
      <c r="R166" s="166">
        <v>4.5798725136227096</v>
      </c>
      <c r="S166" s="26"/>
      <c r="T166" s="167">
        <f t="shared" si="15"/>
        <v>3.8702206188915227</v>
      </c>
      <c r="U166" s="167">
        <f t="shared" si="16"/>
        <v>4.4186560341628924</v>
      </c>
    </row>
    <row r="167" spans="5:21">
      <c r="E167" s="26">
        <f t="shared" si="13"/>
        <v>2030</v>
      </c>
      <c r="F167" s="26">
        <f t="shared" si="14"/>
        <v>9</v>
      </c>
      <c r="G167" s="165">
        <v>47727</v>
      </c>
      <c r="H167" s="26" t="s">
        <v>288</v>
      </c>
      <c r="I167" s="26"/>
      <c r="J167" s="166">
        <v>3.4164736372843016</v>
      </c>
      <c r="K167" s="166">
        <v>0.17129999999999992</v>
      </c>
      <c r="L167" s="166">
        <v>3.5877736372843017</v>
      </c>
      <c r="M167" s="166">
        <v>3.4164736372843016</v>
      </c>
      <c r="N167" s="166">
        <v>1.0058187458141103</v>
      </c>
      <c r="O167" s="166">
        <v>4.4222923830984122</v>
      </c>
      <c r="P167" s="166">
        <v>3.7459717736948672</v>
      </c>
      <c r="Q167" s="166">
        <v>0.46818750000000003</v>
      </c>
      <c r="R167" s="166">
        <v>4.2141592736948672</v>
      </c>
      <c r="S167" s="26"/>
      <c r="T167" s="167">
        <f t="shared" si="15"/>
        <v>3.5263063494211568</v>
      </c>
      <c r="U167" s="167">
        <f t="shared" si="16"/>
        <v>4.0747417646925266</v>
      </c>
    </row>
    <row r="168" spans="5:21">
      <c r="E168" s="26">
        <f t="shared" si="13"/>
        <v>2030</v>
      </c>
      <c r="F168" s="26">
        <f t="shared" si="14"/>
        <v>10</v>
      </c>
      <c r="G168" s="165">
        <v>47757</v>
      </c>
      <c r="H168" s="26" t="s">
        <v>289</v>
      </c>
      <c r="I168" s="26"/>
      <c r="J168" s="166">
        <v>3.4496150452189207</v>
      </c>
      <c r="K168" s="166">
        <v>0.17129999999999992</v>
      </c>
      <c r="L168" s="166">
        <v>3.6209150452189207</v>
      </c>
      <c r="M168" s="166">
        <v>3.4496150452189207</v>
      </c>
      <c r="N168" s="166">
        <v>1.0058187458141103</v>
      </c>
      <c r="O168" s="166">
        <v>4.4554337910330313</v>
      </c>
      <c r="P168" s="166">
        <v>3.7817750615443959</v>
      </c>
      <c r="Q168" s="166">
        <v>0.46818750000000003</v>
      </c>
      <c r="R168" s="166">
        <v>4.2499625615443959</v>
      </c>
      <c r="S168" s="26"/>
      <c r="T168" s="167">
        <f t="shared" si="15"/>
        <v>3.5603350506607456</v>
      </c>
      <c r="U168" s="167">
        <f t="shared" si="16"/>
        <v>4.1087704659321167</v>
      </c>
    </row>
    <row r="169" spans="5:21">
      <c r="E169" s="26">
        <f t="shared" si="13"/>
        <v>2030</v>
      </c>
      <c r="F169" s="26">
        <f t="shared" si="14"/>
        <v>11</v>
      </c>
      <c r="G169" s="165">
        <v>47788</v>
      </c>
      <c r="H169" s="26" t="s">
        <v>290</v>
      </c>
      <c r="I169" s="26"/>
      <c r="J169" s="166">
        <v>3.3856553351937659</v>
      </c>
      <c r="K169" s="166">
        <v>0.17129999999999992</v>
      </c>
      <c r="L169" s="166">
        <v>3.5569553351937659</v>
      </c>
      <c r="M169" s="166">
        <v>3.3856553351937659</v>
      </c>
      <c r="N169" s="166">
        <v>1.0058187458141103</v>
      </c>
      <c r="O169" s="166">
        <v>4.3914740810078765</v>
      </c>
      <c r="P169" s="166">
        <v>3.7111325406338542</v>
      </c>
      <c r="Q169" s="166">
        <v>0.46818750000000003</v>
      </c>
      <c r="R169" s="166">
        <v>4.1793200406338542</v>
      </c>
      <c r="S169" s="26"/>
      <c r="T169" s="167">
        <f t="shared" si="15"/>
        <v>3.494147737007129</v>
      </c>
      <c r="U169" s="167">
        <f t="shared" si="16"/>
        <v>4.0425831522784987</v>
      </c>
    </row>
    <row r="170" spans="5:21">
      <c r="E170" s="26">
        <f t="shared" si="13"/>
        <v>2030</v>
      </c>
      <c r="F170" s="26">
        <f t="shared" si="14"/>
        <v>12</v>
      </c>
      <c r="G170" s="165">
        <v>47818</v>
      </c>
      <c r="H170" s="26" t="s">
        <v>291</v>
      </c>
      <c r="I170" s="26"/>
      <c r="J170" s="166">
        <v>3.7425271997697171</v>
      </c>
      <c r="K170" s="166">
        <v>0.17129999999999992</v>
      </c>
      <c r="L170" s="166">
        <v>3.9138271997697172</v>
      </c>
      <c r="M170" s="166">
        <v>3.7425271997697171</v>
      </c>
      <c r="N170" s="166">
        <v>1.0058187458141103</v>
      </c>
      <c r="O170" s="166">
        <v>4.7483459455838277</v>
      </c>
      <c r="P170" s="166">
        <v>4.1017328797205836</v>
      </c>
      <c r="Q170" s="166">
        <v>0.46818750000000003</v>
      </c>
      <c r="R170" s="166">
        <v>4.5699203797205836</v>
      </c>
      <c r="S170" s="26"/>
      <c r="T170" s="167">
        <f t="shared" si="15"/>
        <v>3.8622624264200063</v>
      </c>
      <c r="U170" s="167">
        <f t="shared" si="16"/>
        <v>4.410697841691376</v>
      </c>
    </row>
    <row r="171" spans="5:21">
      <c r="E171" s="26">
        <f t="shared" si="13"/>
        <v>2031</v>
      </c>
      <c r="F171" s="26">
        <f t="shared" si="14"/>
        <v>1</v>
      </c>
      <c r="G171" s="165">
        <v>47849</v>
      </c>
      <c r="H171" s="26" t="s">
        <v>292</v>
      </c>
      <c r="I171" s="26"/>
      <c r="J171" s="166">
        <v>3.9858591029077468</v>
      </c>
      <c r="K171" s="166">
        <v>0.17129999999999992</v>
      </c>
      <c r="L171" s="166">
        <v>4.1571591029077464</v>
      </c>
      <c r="M171" s="166">
        <v>3.9858591029077468</v>
      </c>
      <c r="N171" s="166">
        <v>1.0058187458141103</v>
      </c>
      <c r="O171" s="166">
        <v>4.9916778487218574</v>
      </c>
      <c r="P171" s="166">
        <v>4.3678032397005149</v>
      </c>
      <c r="Q171" s="166">
        <v>0.46818750000000003</v>
      </c>
      <c r="R171" s="166">
        <v>4.8359907397005149</v>
      </c>
      <c r="S171" s="26"/>
      <c r="T171" s="167">
        <f t="shared" si="15"/>
        <v>4.1131738151720034</v>
      </c>
      <c r="U171" s="167">
        <f t="shared" si="16"/>
        <v>4.6616092304433732</v>
      </c>
    </row>
    <row r="172" spans="5:21">
      <c r="E172" s="26">
        <f t="shared" si="13"/>
        <v>2031</v>
      </c>
      <c r="F172" s="26">
        <f t="shared" si="14"/>
        <v>2</v>
      </c>
      <c r="G172" s="165">
        <v>47880</v>
      </c>
      <c r="H172" s="26" t="s">
        <v>293</v>
      </c>
      <c r="I172" s="26"/>
      <c r="J172" s="166">
        <v>4.0683071805749345</v>
      </c>
      <c r="K172" s="166">
        <v>0.17129999999999992</v>
      </c>
      <c r="L172" s="166">
        <v>4.239607180574934</v>
      </c>
      <c r="M172" s="166">
        <v>4.0683071805749345</v>
      </c>
      <c r="N172" s="166">
        <v>1.0058187458141103</v>
      </c>
      <c r="O172" s="166">
        <v>5.074125926389045</v>
      </c>
      <c r="P172" s="166">
        <v>4.4575230992577755</v>
      </c>
      <c r="Q172" s="166">
        <v>0.46818750000000003</v>
      </c>
      <c r="R172" s="166">
        <v>4.9257105992577754</v>
      </c>
      <c r="S172" s="26"/>
      <c r="T172" s="167">
        <f t="shared" si="15"/>
        <v>4.1980458201358815</v>
      </c>
      <c r="U172" s="167">
        <f t="shared" si="16"/>
        <v>4.7464812354072521</v>
      </c>
    </row>
    <row r="173" spans="5:21">
      <c r="E173" s="26">
        <f t="shared" si="13"/>
        <v>2031</v>
      </c>
      <c r="F173" s="26">
        <f t="shared" si="14"/>
        <v>3</v>
      </c>
      <c r="G173" s="165">
        <v>47908</v>
      </c>
      <c r="H173" s="26" t="s">
        <v>294</v>
      </c>
      <c r="I173" s="26"/>
      <c r="J173" s="166">
        <v>3.6338470461582957</v>
      </c>
      <c r="K173" s="166">
        <v>0.17129999999999992</v>
      </c>
      <c r="L173" s="166">
        <v>3.8051470461582957</v>
      </c>
      <c r="M173" s="166">
        <v>3.6338470461582957</v>
      </c>
      <c r="N173" s="166">
        <v>1.0058187458141103</v>
      </c>
      <c r="O173" s="166">
        <v>4.6396657919724058</v>
      </c>
      <c r="P173" s="166">
        <v>3.9809367475465836</v>
      </c>
      <c r="Q173" s="166">
        <v>0.46818750000000003</v>
      </c>
      <c r="R173" s="166">
        <v>4.4491242475465835</v>
      </c>
      <c r="S173" s="26"/>
      <c r="T173" s="167">
        <f t="shared" si="15"/>
        <v>3.7495436132877251</v>
      </c>
      <c r="U173" s="167">
        <f t="shared" si="16"/>
        <v>4.2979790285590953</v>
      </c>
    </row>
    <row r="174" spans="5:21">
      <c r="E174" s="26">
        <f t="shared" si="13"/>
        <v>2031</v>
      </c>
      <c r="F174" s="26">
        <f t="shared" si="14"/>
        <v>4</v>
      </c>
      <c r="G174" s="165">
        <v>47939</v>
      </c>
      <c r="H174" s="26" t="s">
        <v>295</v>
      </c>
      <c r="I174" s="26"/>
      <c r="J174" s="166">
        <v>3.6288774443579799</v>
      </c>
      <c r="K174" s="166">
        <v>0.17129999999999992</v>
      </c>
      <c r="L174" s="166">
        <v>3.8001774443579799</v>
      </c>
      <c r="M174" s="166">
        <v>3.6288774443579799</v>
      </c>
      <c r="N174" s="166">
        <v>1.0058187458141103</v>
      </c>
      <c r="O174" s="166">
        <v>4.6346961901720904</v>
      </c>
      <c r="P174" s="166">
        <v>3.9749322513563703</v>
      </c>
      <c r="Q174" s="166">
        <v>0.46818750000000003</v>
      </c>
      <c r="R174" s="166">
        <v>4.4431197513563703</v>
      </c>
      <c r="S174" s="26"/>
      <c r="T174" s="167">
        <f t="shared" si="15"/>
        <v>3.7442290466907764</v>
      </c>
      <c r="U174" s="167">
        <f t="shared" si="16"/>
        <v>4.292664461962147</v>
      </c>
    </row>
    <row r="175" spans="5:21">
      <c r="E175" s="26">
        <f t="shared" si="13"/>
        <v>2031</v>
      </c>
      <c r="F175" s="26">
        <f t="shared" si="14"/>
        <v>5</v>
      </c>
      <c r="G175" s="165">
        <v>47969</v>
      </c>
      <c r="H175" s="26" t="s">
        <v>296</v>
      </c>
      <c r="I175" s="26"/>
      <c r="J175" s="166">
        <v>3.81789776356801</v>
      </c>
      <c r="K175" s="166">
        <v>0.17129999999999992</v>
      </c>
      <c r="L175" s="166">
        <v>3.98919776356801</v>
      </c>
      <c r="M175" s="166">
        <v>3.81789776356801</v>
      </c>
      <c r="N175" s="166">
        <v>1.0058187458141103</v>
      </c>
      <c r="O175" s="166">
        <v>4.8237165093821206</v>
      </c>
      <c r="P175" s="166">
        <v>4.1813887543791077</v>
      </c>
      <c r="Q175" s="166">
        <v>0.46818750000000003</v>
      </c>
      <c r="R175" s="166">
        <v>4.6495762543791077</v>
      </c>
      <c r="S175" s="26"/>
      <c r="T175" s="167">
        <f t="shared" si="15"/>
        <v>3.9390614271717097</v>
      </c>
      <c r="U175" s="167">
        <f t="shared" si="16"/>
        <v>4.4874968424430799</v>
      </c>
    </row>
    <row r="176" spans="5:21">
      <c r="E176" s="26">
        <f t="shared" si="13"/>
        <v>2031</v>
      </c>
      <c r="F176" s="26">
        <f t="shared" si="14"/>
        <v>6</v>
      </c>
      <c r="G176" s="165">
        <v>48000</v>
      </c>
      <c r="H176" s="26" t="s">
        <v>297</v>
      </c>
      <c r="I176" s="26"/>
      <c r="J176" s="166">
        <v>3.6978764399820681</v>
      </c>
      <c r="K176" s="166">
        <v>0.17129999999999992</v>
      </c>
      <c r="L176" s="166">
        <v>3.8691764399820681</v>
      </c>
      <c r="M176" s="166">
        <v>3.6978764399820681</v>
      </c>
      <c r="N176" s="166">
        <v>1.0058187458141103</v>
      </c>
      <c r="O176" s="166">
        <v>4.7036951857961782</v>
      </c>
      <c r="P176" s="166">
        <v>4.0483973932625057</v>
      </c>
      <c r="Q176" s="166">
        <v>0.46818750000000003</v>
      </c>
      <c r="R176" s="166">
        <v>4.5165848932625057</v>
      </c>
      <c r="S176" s="26"/>
      <c r="T176" s="167">
        <f t="shared" si="15"/>
        <v>3.8147167577422141</v>
      </c>
      <c r="U176" s="167">
        <f t="shared" si="16"/>
        <v>4.3631521730135843</v>
      </c>
    </row>
    <row r="177" spans="5:21">
      <c r="E177" s="26">
        <f t="shared" si="13"/>
        <v>2031</v>
      </c>
      <c r="F177" s="26">
        <f t="shared" si="14"/>
        <v>7</v>
      </c>
      <c r="G177" s="165">
        <v>48030</v>
      </c>
      <c r="H177" s="26" t="s">
        <v>298</v>
      </c>
      <c r="I177" s="26"/>
      <c r="J177" s="166">
        <v>3.7351556301505906</v>
      </c>
      <c r="K177" s="166">
        <v>0.17129999999999992</v>
      </c>
      <c r="L177" s="166">
        <v>3.9064556301505906</v>
      </c>
      <c r="M177" s="166">
        <v>3.7351556301505906</v>
      </c>
      <c r="N177" s="166">
        <v>1.0058187458141103</v>
      </c>
      <c r="O177" s="166">
        <v>4.7409743759647007</v>
      </c>
      <c r="P177" s="166">
        <v>4.0884714567543243</v>
      </c>
      <c r="Q177" s="166">
        <v>0.46818750000000003</v>
      </c>
      <c r="R177" s="166">
        <v>4.5566589567543243</v>
      </c>
      <c r="S177" s="26"/>
      <c r="T177" s="167">
        <f t="shared" si="15"/>
        <v>3.852927572351835</v>
      </c>
      <c r="U177" s="167">
        <f t="shared" si="16"/>
        <v>4.4013629876232052</v>
      </c>
    </row>
    <row r="178" spans="5:21">
      <c r="E178" s="26">
        <f t="shared" si="13"/>
        <v>2031</v>
      </c>
      <c r="F178" s="26">
        <f t="shared" si="14"/>
        <v>8</v>
      </c>
      <c r="G178" s="165">
        <v>48061</v>
      </c>
      <c r="H178" s="26" t="s">
        <v>299</v>
      </c>
      <c r="I178" s="26"/>
      <c r="J178" s="166">
        <v>3.7641552586001064</v>
      </c>
      <c r="K178" s="166">
        <v>0.17129999999999992</v>
      </c>
      <c r="L178" s="166">
        <v>3.9354552586001064</v>
      </c>
      <c r="M178" s="166">
        <v>3.7641552586001064</v>
      </c>
      <c r="N178" s="166">
        <v>1.0058187458141103</v>
      </c>
      <c r="O178" s="166">
        <v>4.7699740044142169</v>
      </c>
      <c r="P178" s="166">
        <v>4.1194701774990055</v>
      </c>
      <c r="Q178" s="166">
        <v>0.46818750000000003</v>
      </c>
      <c r="R178" s="166">
        <v>4.5876576774990054</v>
      </c>
      <c r="S178" s="26"/>
      <c r="T178" s="167">
        <f t="shared" si="15"/>
        <v>3.8825935648997394</v>
      </c>
      <c r="U178" s="167">
        <f t="shared" si="16"/>
        <v>4.43102898017111</v>
      </c>
    </row>
    <row r="179" spans="5:21">
      <c r="E179" s="26">
        <f t="shared" si="13"/>
        <v>2031</v>
      </c>
      <c r="F179" s="26">
        <f t="shared" si="14"/>
        <v>9</v>
      </c>
      <c r="G179" s="165">
        <v>48092</v>
      </c>
      <c r="H179" s="26" t="s">
        <v>300</v>
      </c>
      <c r="I179" s="26"/>
      <c r="J179" s="166">
        <v>3.4300112571545776</v>
      </c>
      <c r="K179" s="166">
        <v>0.17129999999999992</v>
      </c>
      <c r="L179" s="166">
        <v>3.6013112571545776</v>
      </c>
      <c r="M179" s="166">
        <v>3.4300112571545776</v>
      </c>
      <c r="N179" s="166">
        <v>1.0058187458141103</v>
      </c>
      <c r="O179" s="166">
        <v>4.4358300029686877</v>
      </c>
      <c r="P179" s="166">
        <v>3.753107347971798</v>
      </c>
      <c r="Q179" s="166">
        <v>0.46818750000000003</v>
      </c>
      <c r="R179" s="166">
        <v>4.221294847971798</v>
      </c>
      <c r="S179" s="26"/>
      <c r="T179" s="167">
        <f t="shared" si="15"/>
        <v>3.5377099540936512</v>
      </c>
      <c r="U179" s="167">
        <f t="shared" si="16"/>
        <v>4.0861453693650214</v>
      </c>
    </row>
    <row r="180" spans="5:21">
      <c r="E180" s="26">
        <f t="shared" si="13"/>
        <v>2031</v>
      </c>
      <c r="F180" s="26">
        <f t="shared" si="14"/>
        <v>10</v>
      </c>
      <c r="G180" s="165">
        <v>48122</v>
      </c>
      <c r="H180" s="26" t="s">
        <v>301</v>
      </c>
      <c r="I180" s="26"/>
      <c r="J180" s="166">
        <v>3.4634590002582746</v>
      </c>
      <c r="K180" s="166">
        <v>0.17129999999999992</v>
      </c>
      <c r="L180" s="166">
        <v>3.6347590002582746</v>
      </c>
      <c r="M180" s="166">
        <v>3.4634590002582746</v>
      </c>
      <c r="N180" s="166">
        <v>1.0058187458141103</v>
      </c>
      <c r="O180" s="166">
        <v>4.4692777460723851</v>
      </c>
      <c r="P180" s="166">
        <v>3.7890220936637609</v>
      </c>
      <c r="Q180" s="166">
        <v>0.46818750000000003</v>
      </c>
      <c r="R180" s="166">
        <v>4.2572095936637613</v>
      </c>
      <c r="S180" s="26"/>
      <c r="T180" s="167">
        <f t="shared" si="15"/>
        <v>3.5719800313934367</v>
      </c>
      <c r="U180" s="167">
        <f t="shared" si="16"/>
        <v>4.1204154466648069</v>
      </c>
    </row>
    <row r="181" spans="5:21">
      <c r="E181" s="26">
        <f t="shared" si="13"/>
        <v>2031</v>
      </c>
      <c r="F181" s="26">
        <f t="shared" si="14"/>
        <v>11</v>
      </c>
      <c r="G181" s="165">
        <v>48153</v>
      </c>
      <c r="H181" s="26" t="s">
        <v>302</v>
      </c>
      <c r="I181" s="26"/>
      <c r="J181" s="166">
        <v>3.3994142767713051</v>
      </c>
      <c r="K181" s="166">
        <v>0.17129999999999992</v>
      </c>
      <c r="L181" s="166">
        <v>3.5707142767713052</v>
      </c>
      <c r="M181" s="166">
        <v>3.3994142767713051</v>
      </c>
      <c r="N181" s="166">
        <v>1.0058187458141103</v>
      </c>
      <c r="O181" s="166">
        <v>4.4052330225854153</v>
      </c>
      <c r="P181" s="166">
        <v>3.7182866367953276</v>
      </c>
      <c r="Q181" s="166">
        <v>0.46818750000000003</v>
      </c>
      <c r="R181" s="166">
        <v>4.1864741367953275</v>
      </c>
      <c r="S181" s="26"/>
      <c r="T181" s="167">
        <f t="shared" si="15"/>
        <v>3.5057050634459794</v>
      </c>
      <c r="U181" s="167">
        <f t="shared" si="16"/>
        <v>4.0541404787173496</v>
      </c>
    </row>
    <row r="182" spans="5:21">
      <c r="E182" s="26">
        <f t="shared" si="13"/>
        <v>2031</v>
      </c>
      <c r="F182" s="26">
        <f t="shared" si="14"/>
        <v>12</v>
      </c>
      <c r="G182" s="165">
        <v>48183</v>
      </c>
      <c r="H182" s="26" t="s">
        <v>303</v>
      </c>
      <c r="I182" s="26"/>
      <c r="J182" s="166">
        <v>3.7579260840399153</v>
      </c>
      <c r="K182" s="166">
        <v>0.17129999999999992</v>
      </c>
      <c r="L182" s="166">
        <v>3.9292260840399154</v>
      </c>
      <c r="M182" s="166">
        <v>3.7579260840399153</v>
      </c>
      <c r="N182" s="166">
        <v>1.0058187458141103</v>
      </c>
      <c r="O182" s="166">
        <v>4.7637448298540255</v>
      </c>
      <c r="P182" s="166">
        <v>4.1096868405687621</v>
      </c>
      <c r="Q182" s="166">
        <v>0.46818750000000003</v>
      </c>
      <c r="R182" s="166">
        <v>4.5778743405687621</v>
      </c>
      <c r="S182" s="26"/>
      <c r="T182" s="167">
        <f t="shared" si="15"/>
        <v>3.8751796695495311</v>
      </c>
      <c r="U182" s="167">
        <f t="shared" si="16"/>
        <v>4.4236150848209013</v>
      </c>
    </row>
    <row r="183" spans="5:21">
      <c r="E183" s="26">
        <f t="shared" si="13"/>
        <v>2032</v>
      </c>
      <c r="F183" s="26">
        <f t="shared" si="14"/>
        <v>1</v>
      </c>
      <c r="G183" s="165">
        <v>48214</v>
      </c>
      <c r="H183" s="26" t="s">
        <v>304</v>
      </c>
      <c r="I183" s="26"/>
      <c r="J183" s="166">
        <v>4.0024610598851735</v>
      </c>
      <c r="K183" s="166">
        <v>0.17129999999999992</v>
      </c>
      <c r="L183" s="166">
        <v>4.1737610598851731</v>
      </c>
      <c r="M183" s="166">
        <v>4.0024610598851735</v>
      </c>
      <c r="N183" s="166">
        <v>1.0058187458141103</v>
      </c>
      <c r="O183" s="166">
        <v>5.0082798056992841</v>
      </c>
      <c r="P183" s="166">
        <v>4.3763230721105293</v>
      </c>
      <c r="Q183" s="166">
        <v>0.46818750000000003</v>
      </c>
      <c r="R183" s="166">
        <v>4.8445105721105293</v>
      </c>
      <c r="S183" s="26"/>
      <c r="T183" s="167">
        <f t="shared" si="15"/>
        <v>4.1270817306269585</v>
      </c>
      <c r="U183" s="167">
        <f t="shared" si="16"/>
        <v>4.6755171458983291</v>
      </c>
    </row>
    <row r="184" spans="5:21">
      <c r="E184" s="26">
        <f t="shared" si="13"/>
        <v>2032</v>
      </c>
      <c r="F184" s="26">
        <f t="shared" si="14"/>
        <v>2</v>
      </c>
      <c r="G184" s="165">
        <v>48245</v>
      </c>
      <c r="H184" s="26" t="s">
        <v>305</v>
      </c>
      <c r="I184" s="26"/>
      <c r="J184" s="166">
        <v>4.0854584741880506</v>
      </c>
      <c r="K184" s="166">
        <v>0.17129999999999992</v>
      </c>
      <c r="L184" s="166">
        <v>4.2567584741880502</v>
      </c>
      <c r="M184" s="166">
        <v>4.0854584741880506</v>
      </c>
      <c r="N184" s="166">
        <v>1.0058187458141103</v>
      </c>
      <c r="O184" s="166">
        <v>5.0912772200021612</v>
      </c>
      <c r="P184" s="166">
        <v>4.4662688648683826</v>
      </c>
      <c r="Q184" s="166">
        <v>0.46818750000000003</v>
      </c>
      <c r="R184" s="166">
        <v>4.9344563648683826</v>
      </c>
      <c r="S184" s="26"/>
      <c r="T184" s="167">
        <f t="shared" si="15"/>
        <v>4.2123952710814949</v>
      </c>
      <c r="U184" s="167">
        <f t="shared" si="16"/>
        <v>4.7608306863528647</v>
      </c>
    </row>
    <row r="185" spans="5:21">
      <c r="E185" s="26">
        <f t="shared" si="13"/>
        <v>2032</v>
      </c>
      <c r="F185" s="26">
        <f t="shared" si="14"/>
        <v>3</v>
      </c>
      <c r="G185" s="165">
        <v>48274</v>
      </c>
      <c r="H185" s="26" t="s">
        <v>306</v>
      </c>
      <c r="I185" s="26"/>
      <c r="J185" s="166">
        <v>3.6493505544682479</v>
      </c>
      <c r="K185" s="166">
        <v>0.17129999999999992</v>
      </c>
      <c r="L185" s="166">
        <v>3.8206505544682479</v>
      </c>
      <c r="M185" s="166">
        <v>3.6493505544682479</v>
      </c>
      <c r="N185" s="166">
        <v>1.0058187458141103</v>
      </c>
      <c r="O185" s="166">
        <v>4.655169300282358</v>
      </c>
      <c r="P185" s="166">
        <v>3.9887929067451955</v>
      </c>
      <c r="Q185" s="166">
        <v>0.46818750000000003</v>
      </c>
      <c r="R185" s="166">
        <v>4.4569804067451955</v>
      </c>
      <c r="S185" s="26"/>
      <c r="T185" s="167">
        <f t="shared" si="15"/>
        <v>3.7624980052272305</v>
      </c>
      <c r="U185" s="167">
        <f t="shared" si="16"/>
        <v>4.3109334204986007</v>
      </c>
    </row>
    <row r="186" spans="5:21">
      <c r="E186" s="26">
        <f t="shared" si="13"/>
        <v>2032</v>
      </c>
      <c r="F186" s="26">
        <f t="shared" si="14"/>
        <v>4</v>
      </c>
      <c r="G186" s="165">
        <v>48305</v>
      </c>
      <c r="H186" s="26" t="s">
        <v>307</v>
      </c>
      <c r="I186" s="26"/>
      <c r="J186" s="166">
        <v>3.644543217146798</v>
      </c>
      <c r="K186" s="166">
        <v>0.17129999999999992</v>
      </c>
      <c r="L186" s="166">
        <v>3.815843217146798</v>
      </c>
      <c r="M186" s="166">
        <v>3.644543217146798</v>
      </c>
      <c r="N186" s="166">
        <v>1.0058187458141103</v>
      </c>
      <c r="O186" s="166">
        <v>4.6503619629609085</v>
      </c>
      <c r="P186" s="166">
        <v>3.9828219461010166</v>
      </c>
      <c r="Q186" s="166">
        <v>0.46818750000000003</v>
      </c>
      <c r="R186" s="166">
        <v>4.4510094461010166</v>
      </c>
      <c r="S186" s="26"/>
      <c r="T186" s="167">
        <f t="shared" si="15"/>
        <v>3.7573027934648713</v>
      </c>
      <c r="U186" s="167">
        <f t="shared" si="16"/>
        <v>4.3057382087362415</v>
      </c>
    </row>
    <row r="187" spans="5:21">
      <c r="E187" s="26">
        <f t="shared" si="13"/>
        <v>2032</v>
      </c>
      <c r="F187" s="26">
        <f t="shared" si="14"/>
        <v>5</v>
      </c>
      <c r="G187" s="165">
        <v>48335</v>
      </c>
      <c r="H187" s="26" t="s">
        <v>308</v>
      </c>
      <c r="I187" s="26"/>
      <c r="J187" s="166">
        <v>3.8345724434068322</v>
      </c>
      <c r="K187" s="166">
        <v>0.17129999999999992</v>
      </c>
      <c r="L187" s="166">
        <v>4.0058724434068322</v>
      </c>
      <c r="M187" s="166">
        <v>3.8345724434068322</v>
      </c>
      <c r="N187" s="166">
        <v>1.0058187458141103</v>
      </c>
      <c r="O187" s="166">
        <v>4.8403911892209424</v>
      </c>
      <c r="P187" s="166">
        <v>4.1897359650075137</v>
      </c>
      <c r="Q187" s="166">
        <v>0.46818750000000003</v>
      </c>
      <c r="R187" s="166">
        <v>4.6579234650075136</v>
      </c>
      <c r="S187" s="26"/>
      <c r="T187" s="167">
        <f t="shared" si="15"/>
        <v>3.9529602839403926</v>
      </c>
      <c r="U187" s="167">
        <f t="shared" si="16"/>
        <v>4.5013956992117627</v>
      </c>
    </row>
    <row r="188" spans="5:21">
      <c r="E188" s="26">
        <f t="shared" si="13"/>
        <v>2032</v>
      </c>
      <c r="F188" s="26">
        <f t="shared" si="14"/>
        <v>6</v>
      </c>
      <c r="G188" s="165">
        <v>48366</v>
      </c>
      <c r="H188" s="26" t="s">
        <v>309</v>
      </c>
      <c r="I188" s="26"/>
      <c r="J188" s="166">
        <v>3.7145955445734673</v>
      </c>
      <c r="K188" s="166">
        <v>0.17129999999999992</v>
      </c>
      <c r="L188" s="166">
        <v>3.8858955445734673</v>
      </c>
      <c r="M188" s="166">
        <v>3.7145955445734673</v>
      </c>
      <c r="N188" s="166">
        <v>1.0058187458141103</v>
      </c>
      <c r="O188" s="166">
        <v>4.7204142903875779</v>
      </c>
      <c r="P188" s="166">
        <v>4.0556213877676131</v>
      </c>
      <c r="Q188" s="166">
        <v>0.46818750000000003</v>
      </c>
      <c r="R188" s="166">
        <v>4.523808887767613</v>
      </c>
      <c r="S188" s="26"/>
      <c r="T188" s="167">
        <f t="shared" si="15"/>
        <v>3.828270825638183</v>
      </c>
      <c r="U188" s="167">
        <f t="shared" si="16"/>
        <v>4.3767062409095532</v>
      </c>
    </row>
    <row r="189" spans="5:21">
      <c r="E189" s="26">
        <f t="shared" si="13"/>
        <v>2032</v>
      </c>
      <c r="F189" s="26">
        <f t="shared" si="14"/>
        <v>7</v>
      </c>
      <c r="G189" s="165">
        <v>48396</v>
      </c>
      <c r="H189" s="26" t="s">
        <v>310</v>
      </c>
      <c r="I189" s="26"/>
      <c r="J189" s="166">
        <v>3.752295861284447</v>
      </c>
      <c r="K189" s="166">
        <v>0.17129999999999992</v>
      </c>
      <c r="L189" s="166">
        <v>3.923595861284447</v>
      </c>
      <c r="M189" s="166">
        <v>3.752295861284447</v>
      </c>
      <c r="N189" s="166">
        <v>1.0058187458141103</v>
      </c>
      <c r="O189" s="166">
        <v>4.7581146070985572</v>
      </c>
      <c r="P189" s="166">
        <v>4.0956616219663502</v>
      </c>
      <c r="Q189" s="166">
        <v>0.46818750000000003</v>
      </c>
      <c r="R189" s="166">
        <v>4.5638491219663502</v>
      </c>
      <c r="S189" s="26"/>
      <c r="T189" s="167">
        <f t="shared" si="15"/>
        <v>3.8667511148450813</v>
      </c>
      <c r="U189" s="167">
        <f t="shared" si="16"/>
        <v>4.4151865301164515</v>
      </c>
    </row>
    <row r="190" spans="5:21">
      <c r="E190" s="26">
        <f t="shared" si="13"/>
        <v>2032</v>
      </c>
      <c r="F190" s="26">
        <f t="shared" si="14"/>
        <v>8</v>
      </c>
      <c r="G190" s="165">
        <v>48427</v>
      </c>
      <c r="H190" s="26" t="s">
        <v>311</v>
      </c>
      <c r="I190" s="26"/>
      <c r="J190" s="166">
        <v>3.7816829300546497</v>
      </c>
      <c r="K190" s="166">
        <v>0.17129999999999992</v>
      </c>
      <c r="L190" s="166">
        <v>3.9529829300546497</v>
      </c>
      <c r="M190" s="166">
        <v>3.7816829300546497</v>
      </c>
      <c r="N190" s="166">
        <v>1.0058187458141103</v>
      </c>
      <c r="O190" s="166">
        <v>4.7875016758687599</v>
      </c>
      <c r="P190" s="166">
        <v>4.1266087562195368</v>
      </c>
      <c r="Q190" s="166">
        <v>0.46818750000000003</v>
      </c>
      <c r="R190" s="166">
        <v>4.5947962562195368</v>
      </c>
      <c r="S190" s="26"/>
      <c r="T190" s="167">
        <f t="shared" si="15"/>
        <v>3.8966582054429453</v>
      </c>
      <c r="U190" s="167">
        <f t="shared" si="16"/>
        <v>4.4450936207143155</v>
      </c>
    </row>
    <row r="191" spans="5:21">
      <c r="E191" s="26">
        <f t="shared" si="13"/>
        <v>2032</v>
      </c>
      <c r="F191" s="26">
        <f t="shared" si="14"/>
        <v>9</v>
      </c>
      <c r="G191" s="165">
        <v>48458</v>
      </c>
      <c r="H191" s="26" t="s">
        <v>312</v>
      </c>
      <c r="I191" s="26"/>
      <c r="J191" s="166">
        <v>3.44621462325554</v>
      </c>
      <c r="K191" s="166">
        <v>0.17129999999999992</v>
      </c>
      <c r="L191" s="166">
        <v>3.61751462325554</v>
      </c>
      <c r="M191" s="166">
        <v>3.44621462325554</v>
      </c>
      <c r="N191" s="166">
        <v>1.0058187458141103</v>
      </c>
      <c r="O191" s="166">
        <v>4.4520333690696505</v>
      </c>
      <c r="P191" s="166">
        <v>3.7595144262306679</v>
      </c>
      <c r="Q191" s="166">
        <v>0.46818750000000003</v>
      </c>
      <c r="R191" s="166">
        <v>4.2277019262306679</v>
      </c>
      <c r="S191" s="26"/>
      <c r="T191" s="167">
        <f t="shared" si="15"/>
        <v>3.5506478909139161</v>
      </c>
      <c r="U191" s="167">
        <f t="shared" si="16"/>
        <v>4.0990833061852863</v>
      </c>
    </row>
    <row r="192" spans="5:21">
      <c r="E192" s="26">
        <f t="shared" si="13"/>
        <v>2032</v>
      </c>
      <c r="F192" s="26">
        <f t="shared" si="14"/>
        <v>10</v>
      </c>
      <c r="G192" s="165">
        <v>48488</v>
      </c>
      <c r="H192" s="26" t="s">
        <v>313</v>
      </c>
      <c r="I192" s="26"/>
      <c r="J192" s="166">
        <v>3.4800540980436057</v>
      </c>
      <c r="K192" s="166">
        <v>0.17129999999999992</v>
      </c>
      <c r="L192" s="166">
        <v>3.6513540980436057</v>
      </c>
      <c r="M192" s="166">
        <v>3.4800540980436057</v>
      </c>
      <c r="N192" s="166">
        <v>1.0058187458141103</v>
      </c>
      <c r="O192" s="166">
        <v>4.4858728438577158</v>
      </c>
      <c r="P192" s="166">
        <v>3.7953929552930634</v>
      </c>
      <c r="Q192" s="166">
        <v>0.46818750000000003</v>
      </c>
      <c r="R192" s="166">
        <v>4.2635804552930638</v>
      </c>
      <c r="S192" s="26"/>
      <c r="T192" s="167">
        <f t="shared" si="15"/>
        <v>3.5851670504600914</v>
      </c>
      <c r="U192" s="167">
        <f t="shared" si="16"/>
        <v>4.1336024657314612</v>
      </c>
    </row>
    <row r="193" spans="5:21">
      <c r="E193" s="26">
        <f t="shared" si="13"/>
        <v>2032</v>
      </c>
      <c r="F193" s="26">
        <f t="shared" si="14"/>
        <v>11</v>
      </c>
      <c r="G193" s="165">
        <v>48519</v>
      </c>
      <c r="H193" s="26" t="s">
        <v>314</v>
      </c>
      <c r="I193" s="26"/>
      <c r="J193" s="166">
        <v>3.4159317514450476</v>
      </c>
      <c r="K193" s="166">
        <v>0.17129999999999992</v>
      </c>
      <c r="L193" s="166">
        <v>3.5872317514450476</v>
      </c>
      <c r="M193" s="166">
        <v>3.4159317514450476</v>
      </c>
      <c r="N193" s="166">
        <v>1.0058187458141103</v>
      </c>
      <c r="O193" s="166">
        <v>4.4217504972591577</v>
      </c>
      <c r="P193" s="166">
        <v>3.7244428872981432</v>
      </c>
      <c r="Q193" s="166">
        <v>0.46818750000000003</v>
      </c>
      <c r="R193" s="166">
        <v>4.1926303872981432</v>
      </c>
      <c r="S193" s="26"/>
      <c r="T193" s="167">
        <f t="shared" si="15"/>
        <v>3.5187687967294128</v>
      </c>
      <c r="U193" s="167">
        <f t="shared" si="16"/>
        <v>4.0672042120007825</v>
      </c>
    </row>
    <row r="194" spans="5:21">
      <c r="E194" s="26">
        <f t="shared" si="13"/>
        <v>2032</v>
      </c>
      <c r="F194" s="26">
        <f t="shared" si="14"/>
        <v>12</v>
      </c>
      <c r="G194" s="165">
        <v>48549</v>
      </c>
      <c r="H194" s="26" t="s">
        <v>315</v>
      </c>
      <c r="I194" s="26"/>
      <c r="J194" s="166">
        <v>3.776438787939365</v>
      </c>
      <c r="K194" s="166">
        <v>0.17129999999999992</v>
      </c>
      <c r="L194" s="166">
        <v>3.9477387879393651</v>
      </c>
      <c r="M194" s="166">
        <v>3.776438787939365</v>
      </c>
      <c r="N194" s="166">
        <v>1.0058187458141103</v>
      </c>
      <c r="O194" s="166">
        <v>4.7822575337534756</v>
      </c>
      <c r="P194" s="166">
        <v>4.1163854064308376</v>
      </c>
      <c r="Q194" s="166">
        <v>0.46818750000000003</v>
      </c>
      <c r="R194" s="166">
        <v>4.5845729064308376</v>
      </c>
      <c r="S194" s="26"/>
      <c r="T194" s="167">
        <f t="shared" si="15"/>
        <v>3.8897543274365227</v>
      </c>
      <c r="U194" s="167">
        <f t="shared" si="16"/>
        <v>4.4381897427078929</v>
      </c>
    </row>
    <row r="195" spans="5:21">
      <c r="E195" s="26">
        <f t="shared" si="13"/>
        <v>2033</v>
      </c>
      <c r="F195" s="26">
        <f t="shared" si="14"/>
        <v>1</v>
      </c>
      <c r="G195" s="165">
        <v>48580</v>
      </c>
      <c r="H195" s="26" t="s">
        <v>316</v>
      </c>
      <c r="I195" s="26"/>
      <c r="J195" s="166">
        <v>4.0224479636384709</v>
      </c>
      <c r="K195" s="166">
        <v>0.17129999999999992</v>
      </c>
      <c r="L195" s="166">
        <v>4.1937479636384705</v>
      </c>
      <c r="M195" s="166">
        <v>4.0224479636384709</v>
      </c>
      <c r="N195" s="166">
        <v>1.0058187458141103</v>
      </c>
      <c r="O195" s="166">
        <v>5.0282667094525815</v>
      </c>
      <c r="P195" s="166">
        <v>4.3833437044510966</v>
      </c>
      <c r="Q195" s="166">
        <v>0.46818750000000003</v>
      </c>
      <c r="R195" s="166">
        <v>4.8515312044510965</v>
      </c>
      <c r="S195" s="26"/>
      <c r="T195" s="167">
        <f t="shared" si="15"/>
        <v>4.1427465439093458</v>
      </c>
      <c r="U195" s="167">
        <f t="shared" si="16"/>
        <v>4.6911819591807165</v>
      </c>
    </row>
    <row r="196" spans="5:21">
      <c r="E196" s="26">
        <f t="shared" ref="E196:E242" si="17">YEAR(G196)</f>
        <v>2033</v>
      </c>
      <c r="F196" s="26">
        <f t="shared" ref="F196:F242" si="18">MONTH(G196)</f>
        <v>2</v>
      </c>
      <c r="G196" s="165">
        <v>48611</v>
      </c>
      <c r="H196" s="26" t="s">
        <v>317</v>
      </c>
      <c r="I196" s="26"/>
      <c r="J196" s="166">
        <v>4.1061347850221281</v>
      </c>
      <c r="K196" s="166">
        <v>0.17129999999999992</v>
      </c>
      <c r="L196" s="166">
        <v>4.2774347850221277</v>
      </c>
      <c r="M196" s="166">
        <v>4.1061347850221281</v>
      </c>
      <c r="N196" s="166">
        <v>1.0058187458141103</v>
      </c>
      <c r="O196" s="166">
        <v>5.1119535308362387</v>
      </c>
      <c r="P196" s="166">
        <v>4.4733189790565859</v>
      </c>
      <c r="Q196" s="166">
        <v>0.46818750000000003</v>
      </c>
      <c r="R196" s="166">
        <v>4.9415064790565859</v>
      </c>
      <c r="S196" s="26"/>
      <c r="T196" s="167">
        <f t="shared" ref="T196:T242" si="19">AVERAGE(J196,M196,P196)</f>
        <v>4.2285295163669474</v>
      </c>
      <c r="U196" s="167">
        <f t="shared" ref="U196:U242" si="20">AVERAGE(L196,O196,R196)</f>
        <v>4.7769649316383171</v>
      </c>
    </row>
    <row r="197" spans="5:21">
      <c r="E197" s="26">
        <f t="shared" si="17"/>
        <v>2033</v>
      </c>
      <c r="F197" s="26">
        <f t="shared" si="18"/>
        <v>3</v>
      </c>
      <c r="G197" s="165">
        <v>48639</v>
      </c>
      <c r="H197" s="26" t="s">
        <v>318</v>
      </c>
      <c r="I197" s="26"/>
      <c r="J197" s="166">
        <v>3.6680651735032814</v>
      </c>
      <c r="K197" s="166">
        <v>0.17129999999999992</v>
      </c>
      <c r="L197" s="166">
        <v>3.8393651735032814</v>
      </c>
      <c r="M197" s="166">
        <v>3.6680651735032814</v>
      </c>
      <c r="N197" s="166">
        <v>1.0058187458141103</v>
      </c>
      <c r="O197" s="166">
        <v>4.673883919317392</v>
      </c>
      <c r="P197" s="166">
        <v>3.9949868088150957</v>
      </c>
      <c r="Q197" s="166">
        <v>0.46818750000000003</v>
      </c>
      <c r="R197" s="166">
        <v>4.4631743088150957</v>
      </c>
      <c r="S197" s="26"/>
      <c r="T197" s="167">
        <f t="shared" si="19"/>
        <v>3.777039051940553</v>
      </c>
      <c r="U197" s="167">
        <f t="shared" si="20"/>
        <v>4.3254744672119232</v>
      </c>
    </row>
    <row r="198" spans="5:21">
      <c r="E198" s="26">
        <f t="shared" si="17"/>
        <v>2033</v>
      </c>
      <c r="F198" s="26">
        <f t="shared" si="18"/>
        <v>4</v>
      </c>
      <c r="G198" s="165">
        <v>48670</v>
      </c>
      <c r="H198" s="26" t="s">
        <v>319</v>
      </c>
      <c r="I198" s="26"/>
      <c r="J198" s="166">
        <v>3.6634781223139359</v>
      </c>
      <c r="K198" s="166">
        <v>0.17129999999999992</v>
      </c>
      <c r="L198" s="166">
        <v>3.8347781223139359</v>
      </c>
      <c r="M198" s="166">
        <v>3.6634781223139359</v>
      </c>
      <c r="N198" s="166">
        <v>1.0058187458141103</v>
      </c>
      <c r="O198" s="166">
        <v>4.669296868128046</v>
      </c>
      <c r="P198" s="166">
        <v>3.9889042580552627</v>
      </c>
      <c r="Q198" s="166">
        <v>0.46818750000000003</v>
      </c>
      <c r="R198" s="166">
        <v>4.4570917580552631</v>
      </c>
      <c r="S198" s="26"/>
      <c r="T198" s="167">
        <f t="shared" si="19"/>
        <v>3.7719535008943783</v>
      </c>
      <c r="U198" s="167">
        <f t="shared" si="20"/>
        <v>4.320388916165748</v>
      </c>
    </row>
    <row r="199" spans="5:21">
      <c r="E199" s="26">
        <f t="shared" si="17"/>
        <v>2033</v>
      </c>
      <c r="F199" s="26">
        <f t="shared" si="18"/>
        <v>5</v>
      </c>
      <c r="G199" s="165">
        <v>48700</v>
      </c>
      <c r="H199" s="26" t="s">
        <v>320</v>
      </c>
      <c r="I199" s="26"/>
      <c r="J199" s="166">
        <v>3.8547521635327016</v>
      </c>
      <c r="K199" s="166">
        <v>0.17129999999999992</v>
      </c>
      <c r="L199" s="166">
        <v>4.0260521635327011</v>
      </c>
      <c r="M199" s="166">
        <v>3.8547521635327016</v>
      </c>
      <c r="N199" s="166">
        <v>1.0058187458141103</v>
      </c>
      <c r="O199" s="166">
        <v>4.8605709093468121</v>
      </c>
      <c r="P199" s="166">
        <v>4.1960266637119217</v>
      </c>
      <c r="Q199" s="166">
        <v>0.46818750000000003</v>
      </c>
      <c r="R199" s="166">
        <v>4.6642141637119217</v>
      </c>
      <c r="S199" s="26"/>
      <c r="T199" s="167">
        <f t="shared" si="19"/>
        <v>3.9685103302591087</v>
      </c>
      <c r="U199" s="167">
        <f t="shared" si="20"/>
        <v>4.516945745530478</v>
      </c>
    </row>
    <row r="200" spans="5:21">
      <c r="E200" s="26">
        <f t="shared" si="17"/>
        <v>2033</v>
      </c>
      <c r="F200" s="26">
        <f t="shared" si="18"/>
        <v>6</v>
      </c>
      <c r="G200" s="165">
        <v>48731</v>
      </c>
      <c r="H200" s="26" t="s">
        <v>321</v>
      </c>
      <c r="I200" s="26"/>
      <c r="J200" s="166">
        <v>3.7339206992574145</v>
      </c>
      <c r="K200" s="166">
        <v>0.17129999999999992</v>
      </c>
      <c r="L200" s="166">
        <v>3.9052206992574146</v>
      </c>
      <c r="M200" s="166">
        <v>3.7339206992574145</v>
      </c>
      <c r="N200" s="166">
        <v>1.0058187458141103</v>
      </c>
      <c r="O200" s="166">
        <v>4.7397394450715247</v>
      </c>
      <c r="P200" s="166">
        <v>4.0641849086452781</v>
      </c>
      <c r="Q200" s="166">
        <v>0.46818750000000003</v>
      </c>
      <c r="R200" s="166">
        <v>4.5323724086452781</v>
      </c>
      <c r="S200" s="26"/>
      <c r="T200" s="167">
        <f t="shared" si="19"/>
        <v>3.8440087690533691</v>
      </c>
      <c r="U200" s="167">
        <f t="shared" si="20"/>
        <v>4.3924441843247388</v>
      </c>
    </row>
    <row r="201" spans="5:21">
      <c r="E201" s="26">
        <f t="shared" si="17"/>
        <v>2033</v>
      </c>
      <c r="F201" s="26">
        <f t="shared" si="18"/>
        <v>7</v>
      </c>
      <c r="G201" s="165">
        <v>48761</v>
      </c>
      <c r="H201" s="26" t="s">
        <v>322</v>
      </c>
      <c r="I201" s="26"/>
      <c r="J201" s="166">
        <v>3.7719893770888846</v>
      </c>
      <c r="K201" s="166">
        <v>0.17129999999999992</v>
      </c>
      <c r="L201" s="166">
        <v>3.9432893770888846</v>
      </c>
      <c r="M201" s="166">
        <v>3.7719893770888846</v>
      </c>
      <c r="N201" s="166">
        <v>1.0058187458141103</v>
      </c>
      <c r="O201" s="166">
        <v>4.7778081229029947</v>
      </c>
      <c r="P201" s="166">
        <v>4.1046381031392976</v>
      </c>
      <c r="Q201" s="166">
        <v>0.46818750000000003</v>
      </c>
      <c r="R201" s="166">
        <v>4.5728256031392975</v>
      </c>
      <c r="S201" s="26"/>
      <c r="T201" s="167">
        <f t="shared" si="19"/>
        <v>3.8828722857723554</v>
      </c>
      <c r="U201" s="167">
        <f t="shared" si="20"/>
        <v>4.4313077010437256</v>
      </c>
    </row>
    <row r="202" spans="5:21">
      <c r="E202" s="26">
        <f t="shared" si="17"/>
        <v>2033</v>
      </c>
      <c r="F202" s="26">
        <f t="shared" si="18"/>
        <v>8</v>
      </c>
      <c r="G202" s="165">
        <v>48792</v>
      </c>
      <c r="H202" s="26" t="s">
        <v>323</v>
      </c>
      <c r="I202" s="26"/>
      <c r="J202" s="166">
        <v>3.8017041129809859</v>
      </c>
      <c r="K202" s="166">
        <v>0.17129999999999992</v>
      </c>
      <c r="L202" s="166">
        <v>3.9730041129809859</v>
      </c>
      <c r="M202" s="166">
        <v>3.8017041129809859</v>
      </c>
      <c r="N202" s="166">
        <v>1.0058187458141103</v>
      </c>
      <c r="O202" s="166">
        <v>4.807522858795096</v>
      </c>
      <c r="P202" s="166">
        <v>4.1359838706950161</v>
      </c>
      <c r="Q202" s="166">
        <v>0.46818750000000003</v>
      </c>
      <c r="R202" s="166">
        <v>4.604171370695016</v>
      </c>
      <c r="S202" s="26"/>
      <c r="T202" s="167">
        <f t="shared" si="19"/>
        <v>3.9131306988856629</v>
      </c>
      <c r="U202" s="167">
        <f t="shared" si="20"/>
        <v>4.4615661141570326</v>
      </c>
    </row>
    <row r="203" spans="5:21">
      <c r="E203" s="26">
        <f t="shared" si="17"/>
        <v>2033</v>
      </c>
      <c r="F203" s="26">
        <f t="shared" si="18"/>
        <v>9</v>
      </c>
      <c r="G203" s="165">
        <v>48823</v>
      </c>
      <c r="H203" s="26" t="s">
        <v>324</v>
      </c>
      <c r="I203" s="26"/>
      <c r="J203" s="166">
        <v>3.4646176704305125</v>
      </c>
      <c r="K203" s="166">
        <v>0.17129999999999992</v>
      </c>
      <c r="L203" s="166">
        <v>3.6359176704305125</v>
      </c>
      <c r="M203" s="166">
        <v>3.4646176704305125</v>
      </c>
      <c r="N203" s="166">
        <v>1.0058187458141103</v>
      </c>
      <c r="O203" s="166">
        <v>4.4704364162446231</v>
      </c>
      <c r="P203" s="166">
        <v>3.7683568472032074</v>
      </c>
      <c r="Q203" s="166">
        <v>0.46818750000000003</v>
      </c>
      <c r="R203" s="166">
        <v>4.2365443472032078</v>
      </c>
      <c r="S203" s="26"/>
      <c r="T203" s="167">
        <f t="shared" si="19"/>
        <v>3.5658640626880778</v>
      </c>
      <c r="U203" s="167">
        <f t="shared" si="20"/>
        <v>4.1142994779594479</v>
      </c>
    </row>
    <row r="204" spans="5:21">
      <c r="E204" s="26">
        <f t="shared" si="17"/>
        <v>2033</v>
      </c>
      <c r="F204" s="26">
        <f t="shared" si="18"/>
        <v>10</v>
      </c>
      <c r="G204" s="165">
        <v>48853</v>
      </c>
      <c r="H204" s="26" t="s">
        <v>325</v>
      </c>
      <c r="I204" s="26"/>
      <c r="J204" s="166">
        <v>3.4987971888765004</v>
      </c>
      <c r="K204" s="166">
        <v>0.17129999999999992</v>
      </c>
      <c r="L204" s="166">
        <v>3.6700971888765004</v>
      </c>
      <c r="M204" s="166">
        <v>3.4987971888765004</v>
      </c>
      <c r="N204" s="166">
        <v>1.0058187458141103</v>
      </c>
      <c r="O204" s="166">
        <v>4.5046159346906105</v>
      </c>
      <c r="P204" s="166">
        <v>3.8046238525741192</v>
      </c>
      <c r="Q204" s="166">
        <v>0.46818750000000003</v>
      </c>
      <c r="R204" s="166">
        <v>4.2728113525741191</v>
      </c>
      <c r="S204" s="26"/>
      <c r="T204" s="167">
        <f t="shared" si="19"/>
        <v>3.6007394101090404</v>
      </c>
      <c r="U204" s="167">
        <f t="shared" si="20"/>
        <v>4.1491748253804097</v>
      </c>
    </row>
    <row r="205" spans="5:21">
      <c r="E205" s="26">
        <f t="shared" si="17"/>
        <v>2033</v>
      </c>
      <c r="F205" s="26">
        <f t="shared" si="18"/>
        <v>11</v>
      </c>
      <c r="G205" s="165">
        <v>48884</v>
      </c>
      <c r="H205" s="26" t="s">
        <v>326</v>
      </c>
      <c r="I205" s="26"/>
      <c r="J205" s="166">
        <v>3.4344857627194161</v>
      </c>
      <c r="K205" s="166">
        <v>0.17129999999999992</v>
      </c>
      <c r="L205" s="166">
        <v>3.6057857627194161</v>
      </c>
      <c r="M205" s="166">
        <v>3.4344857627194161</v>
      </c>
      <c r="N205" s="166">
        <v>1.0058187458141103</v>
      </c>
      <c r="O205" s="166">
        <v>4.4403045085335267</v>
      </c>
      <c r="P205" s="166">
        <v>3.7337995487209614</v>
      </c>
      <c r="Q205" s="166">
        <v>0.46818750000000003</v>
      </c>
      <c r="R205" s="166">
        <v>4.2019870487209614</v>
      </c>
      <c r="S205" s="26"/>
      <c r="T205" s="167">
        <f t="shared" si="19"/>
        <v>3.5342570247199312</v>
      </c>
      <c r="U205" s="167">
        <f t="shared" si="20"/>
        <v>4.0826924399913018</v>
      </c>
    </row>
    <row r="206" spans="5:21">
      <c r="E206" s="26">
        <f t="shared" si="17"/>
        <v>2033</v>
      </c>
      <c r="F206" s="26">
        <f t="shared" si="18"/>
        <v>12</v>
      </c>
      <c r="G206" s="165">
        <v>48914</v>
      </c>
      <c r="H206" s="26" t="s">
        <v>327</v>
      </c>
      <c r="I206" s="26"/>
      <c r="J206" s="166">
        <v>3.7971235592021868</v>
      </c>
      <c r="K206" s="166">
        <v>0.17129999999999992</v>
      </c>
      <c r="L206" s="166">
        <v>3.9684235592021868</v>
      </c>
      <c r="M206" s="166">
        <v>3.7971235592021868</v>
      </c>
      <c r="N206" s="166">
        <v>1.0058187458141103</v>
      </c>
      <c r="O206" s="166">
        <v>4.8029423050162974</v>
      </c>
      <c r="P206" s="166">
        <v>4.1270563469139141</v>
      </c>
      <c r="Q206" s="166">
        <v>0.46818750000000003</v>
      </c>
      <c r="R206" s="166">
        <v>4.5952438469139141</v>
      </c>
      <c r="S206" s="26"/>
      <c r="T206" s="167">
        <f t="shared" si="19"/>
        <v>3.9071011551060959</v>
      </c>
      <c r="U206" s="167">
        <f t="shared" si="20"/>
        <v>4.4555365703774656</v>
      </c>
    </row>
    <row r="207" spans="5:21">
      <c r="E207" s="26">
        <f t="shared" si="17"/>
        <v>2034</v>
      </c>
      <c r="F207" s="26">
        <f t="shared" si="18"/>
        <v>1</v>
      </c>
      <c r="G207" s="165">
        <v>48945</v>
      </c>
      <c r="H207" s="26" t="s">
        <v>328</v>
      </c>
      <c r="I207" s="26"/>
      <c r="J207" s="166">
        <v>4.0446639277483207</v>
      </c>
      <c r="K207" s="166">
        <v>0.17129999999999992</v>
      </c>
      <c r="L207" s="166">
        <v>4.2159639277483203</v>
      </c>
      <c r="M207" s="166">
        <v>4.0446639277483207</v>
      </c>
      <c r="N207" s="166">
        <v>1.0058187458141103</v>
      </c>
      <c r="O207" s="166">
        <v>5.0504826735624313</v>
      </c>
      <c r="P207" s="166">
        <v>4.3950575941330072</v>
      </c>
      <c r="Q207" s="166">
        <v>0.46818750000000003</v>
      </c>
      <c r="R207" s="166">
        <v>4.8632450941330072</v>
      </c>
      <c r="S207" s="26"/>
      <c r="T207" s="167">
        <f t="shared" si="19"/>
        <v>4.1614618165432162</v>
      </c>
      <c r="U207" s="167">
        <f t="shared" si="20"/>
        <v>4.709897231814586</v>
      </c>
    </row>
    <row r="208" spans="5:21">
      <c r="E208" s="26">
        <f t="shared" si="17"/>
        <v>2034</v>
      </c>
      <c r="F208" s="26">
        <f t="shared" si="18"/>
        <v>2</v>
      </c>
      <c r="G208" s="165">
        <v>48976</v>
      </c>
      <c r="H208" s="26" t="s">
        <v>329</v>
      </c>
      <c r="I208" s="26"/>
      <c r="J208" s="166">
        <v>4.1290003417006185</v>
      </c>
      <c r="K208" s="166">
        <v>0.17129999999999992</v>
      </c>
      <c r="L208" s="166">
        <v>4.300300341700618</v>
      </c>
      <c r="M208" s="166">
        <v>4.1290003417006185</v>
      </c>
      <c r="N208" s="166">
        <v>1.0058187458141103</v>
      </c>
      <c r="O208" s="166">
        <v>5.134819087514729</v>
      </c>
      <c r="P208" s="166">
        <v>4.4856313322975234</v>
      </c>
      <c r="Q208" s="166">
        <v>0.46818750000000003</v>
      </c>
      <c r="R208" s="166">
        <v>4.9538188322975234</v>
      </c>
      <c r="S208" s="26"/>
      <c r="T208" s="167">
        <f t="shared" si="19"/>
        <v>4.247877338566254</v>
      </c>
      <c r="U208" s="167">
        <f t="shared" si="20"/>
        <v>4.7963127538376238</v>
      </c>
    </row>
    <row r="209" spans="5:21">
      <c r="E209" s="26">
        <f t="shared" si="17"/>
        <v>2034</v>
      </c>
      <c r="F209" s="26">
        <f t="shared" si="18"/>
        <v>3</v>
      </c>
      <c r="G209" s="165">
        <v>49004</v>
      </c>
      <c r="H209" s="26" t="s">
        <v>330</v>
      </c>
      <c r="I209" s="26"/>
      <c r="J209" s="166">
        <v>3.6886585433104511</v>
      </c>
      <c r="K209" s="166">
        <v>0.17129999999999992</v>
      </c>
      <c r="L209" s="166">
        <v>3.8599585433104511</v>
      </c>
      <c r="M209" s="166">
        <v>3.6886585433104511</v>
      </c>
      <c r="N209" s="166">
        <v>1.0058187458141103</v>
      </c>
      <c r="O209" s="166">
        <v>4.6944772891245616</v>
      </c>
      <c r="P209" s="166">
        <v>4.0063022490899378</v>
      </c>
      <c r="Q209" s="166">
        <v>0.46818750000000003</v>
      </c>
      <c r="R209" s="166">
        <v>4.4744897490899378</v>
      </c>
      <c r="S209" s="26"/>
      <c r="T209" s="167">
        <f t="shared" si="19"/>
        <v>3.7945397785702801</v>
      </c>
      <c r="U209" s="167">
        <f t="shared" si="20"/>
        <v>4.3429751938416503</v>
      </c>
    </row>
    <row r="210" spans="5:21">
      <c r="E210" s="26">
        <f t="shared" si="17"/>
        <v>2034</v>
      </c>
      <c r="F210" s="26">
        <f t="shared" si="18"/>
        <v>4</v>
      </c>
      <c r="G210" s="165">
        <v>49035</v>
      </c>
      <c r="H210" s="26" t="s">
        <v>331</v>
      </c>
      <c r="I210" s="26"/>
      <c r="J210" s="166">
        <v>3.6842126558375781</v>
      </c>
      <c r="K210" s="166">
        <v>0.17129999999999992</v>
      </c>
      <c r="L210" s="166">
        <v>3.8555126558375781</v>
      </c>
      <c r="M210" s="166">
        <v>3.6842126558375781</v>
      </c>
      <c r="N210" s="166">
        <v>1.0058187458141103</v>
      </c>
      <c r="O210" s="166">
        <v>4.6900314016516882</v>
      </c>
      <c r="P210" s="166">
        <v>4.0005215442995103</v>
      </c>
      <c r="Q210" s="166">
        <v>0.46818750000000003</v>
      </c>
      <c r="R210" s="166">
        <v>4.4687090442995103</v>
      </c>
      <c r="S210" s="26"/>
      <c r="T210" s="167">
        <f t="shared" si="19"/>
        <v>3.7896489519915555</v>
      </c>
      <c r="U210" s="167">
        <f t="shared" si="20"/>
        <v>4.3380843672629252</v>
      </c>
    </row>
    <row r="211" spans="5:21">
      <c r="E211" s="26">
        <f t="shared" si="17"/>
        <v>2034</v>
      </c>
      <c r="F211" s="26">
        <f t="shared" si="18"/>
        <v>5</v>
      </c>
      <c r="G211" s="165">
        <v>49065</v>
      </c>
      <c r="H211" s="26" t="s">
        <v>332</v>
      </c>
      <c r="I211" s="26"/>
      <c r="J211" s="166">
        <v>3.8767447570024292</v>
      </c>
      <c r="K211" s="166">
        <v>0.17129999999999992</v>
      </c>
      <c r="L211" s="166">
        <v>4.0480447570024287</v>
      </c>
      <c r="M211" s="166">
        <v>3.8767447570024292</v>
      </c>
      <c r="N211" s="166">
        <v>1.0058187458141103</v>
      </c>
      <c r="O211" s="166">
        <v>4.8825635028165397</v>
      </c>
      <c r="P211" s="166">
        <v>4.2085827244187115</v>
      </c>
      <c r="Q211" s="166">
        <v>0.46818750000000003</v>
      </c>
      <c r="R211" s="166">
        <v>4.6767702244187115</v>
      </c>
      <c r="S211" s="26"/>
      <c r="T211" s="167">
        <f t="shared" si="19"/>
        <v>3.9873574128078566</v>
      </c>
      <c r="U211" s="167">
        <f t="shared" si="20"/>
        <v>4.5357928280792263</v>
      </c>
    </row>
    <row r="212" spans="5:21">
      <c r="E212" s="26">
        <f t="shared" si="17"/>
        <v>2034</v>
      </c>
      <c r="F212" s="26">
        <f t="shared" si="18"/>
        <v>6</v>
      </c>
      <c r="G212" s="165">
        <v>49096</v>
      </c>
      <c r="H212" s="26" t="s">
        <v>333</v>
      </c>
      <c r="I212" s="26"/>
      <c r="J212" s="166">
        <v>3.7553716210529022</v>
      </c>
      <c r="K212" s="166">
        <v>0.17129999999999992</v>
      </c>
      <c r="L212" s="166">
        <v>3.9266716210529022</v>
      </c>
      <c r="M212" s="166">
        <v>3.7553716210529022</v>
      </c>
      <c r="N212" s="166">
        <v>1.0058187458141103</v>
      </c>
      <c r="O212" s="166">
        <v>4.7611903668670124</v>
      </c>
      <c r="P212" s="166">
        <v>4.0748420790836084</v>
      </c>
      <c r="Q212" s="166">
        <v>0.46818750000000003</v>
      </c>
      <c r="R212" s="166">
        <v>4.5430295790836084</v>
      </c>
      <c r="S212" s="26"/>
      <c r="T212" s="167">
        <f t="shared" si="19"/>
        <v>3.8618617737298044</v>
      </c>
      <c r="U212" s="167">
        <f t="shared" si="20"/>
        <v>4.4102971890011746</v>
      </c>
    </row>
    <row r="213" spans="5:21">
      <c r="E213" s="26">
        <f t="shared" si="17"/>
        <v>2034</v>
      </c>
      <c r="F213" s="26">
        <f t="shared" si="18"/>
        <v>7</v>
      </c>
      <c r="G213" s="165">
        <v>49126</v>
      </c>
      <c r="H213" s="26" t="s">
        <v>334</v>
      </c>
      <c r="I213" s="26"/>
      <c r="J213" s="166">
        <v>3.7938266666622904</v>
      </c>
      <c r="K213" s="166">
        <v>0.17129999999999992</v>
      </c>
      <c r="L213" s="166">
        <v>3.9651266666622904</v>
      </c>
      <c r="M213" s="166">
        <v>3.7938266666622904</v>
      </c>
      <c r="N213" s="166">
        <v>1.0058187458141103</v>
      </c>
      <c r="O213" s="166">
        <v>4.7996454124764005</v>
      </c>
      <c r="P213" s="166">
        <v>4.1154217796298145</v>
      </c>
      <c r="Q213" s="166">
        <v>0.46818750000000003</v>
      </c>
      <c r="R213" s="166">
        <v>4.5836092796298145</v>
      </c>
      <c r="S213" s="26"/>
      <c r="T213" s="167">
        <f t="shared" si="19"/>
        <v>3.9010250376514648</v>
      </c>
      <c r="U213" s="167">
        <f t="shared" si="20"/>
        <v>4.4494604529228354</v>
      </c>
    </row>
    <row r="214" spans="5:21">
      <c r="E214" s="26">
        <f t="shared" si="17"/>
        <v>2034</v>
      </c>
      <c r="F214" s="26">
        <f t="shared" si="18"/>
        <v>8</v>
      </c>
      <c r="G214" s="165">
        <v>49157</v>
      </c>
      <c r="H214" s="26" t="s">
        <v>335</v>
      </c>
      <c r="I214" s="26"/>
      <c r="J214" s="166">
        <v>3.8238822659280984</v>
      </c>
      <c r="K214" s="166">
        <v>0.17129999999999992</v>
      </c>
      <c r="L214" s="166">
        <v>3.9951822659280984</v>
      </c>
      <c r="M214" s="166">
        <v>3.8238822659280984</v>
      </c>
      <c r="N214" s="166">
        <v>1.0058187458141103</v>
      </c>
      <c r="O214" s="166">
        <v>4.829701011742209</v>
      </c>
      <c r="P214" s="166">
        <v>4.1468704747388969</v>
      </c>
      <c r="Q214" s="166">
        <v>0.46818750000000003</v>
      </c>
      <c r="R214" s="166">
        <v>4.6150579747388969</v>
      </c>
      <c r="S214" s="26"/>
      <c r="T214" s="167">
        <f t="shared" si="19"/>
        <v>3.9315450021983644</v>
      </c>
      <c r="U214" s="167">
        <f t="shared" si="20"/>
        <v>4.4799804174697355</v>
      </c>
    </row>
    <row r="215" spans="5:21">
      <c r="E215" s="26">
        <f t="shared" si="17"/>
        <v>2034</v>
      </c>
      <c r="F215" s="26">
        <f t="shared" si="18"/>
        <v>9</v>
      </c>
      <c r="G215" s="165">
        <v>49188</v>
      </c>
      <c r="H215" s="26" t="s">
        <v>336</v>
      </c>
      <c r="I215" s="26"/>
      <c r="J215" s="166">
        <v>3.4849830737148793</v>
      </c>
      <c r="K215" s="166">
        <v>0.17129999999999992</v>
      </c>
      <c r="L215" s="166">
        <v>3.6562830737148793</v>
      </c>
      <c r="M215" s="166">
        <v>3.4849830737148793</v>
      </c>
      <c r="N215" s="166">
        <v>1.0058187458141103</v>
      </c>
      <c r="O215" s="166">
        <v>4.4908018195289898</v>
      </c>
      <c r="P215" s="166">
        <v>3.7782945343656014</v>
      </c>
      <c r="Q215" s="166">
        <v>0.46818750000000003</v>
      </c>
      <c r="R215" s="166">
        <v>4.2464820343656013</v>
      </c>
      <c r="S215" s="26"/>
      <c r="T215" s="167">
        <f t="shared" si="19"/>
        <v>3.5827535605984533</v>
      </c>
      <c r="U215" s="167">
        <f t="shared" si="20"/>
        <v>4.131188975869823</v>
      </c>
    </row>
    <row r="216" spans="5:21">
      <c r="E216" s="26">
        <f t="shared" si="17"/>
        <v>2034</v>
      </c>
      <c r="F216" s="26">
        <f t="shared" si="18"/>
        <v>10</v>
      </c>
      <c r="G216" s="165">
        <v>49218</v>
      </c>
      <c r="H216" s="26" t="s">
        <v>337</v>
      </c>
      <c r="I216" s="26"/>
      <c r="J216" s="166">
        <v>3.5195186035599186</v>
      </c>
      <c r="K216" s="166">
        <v>0.17129999999999992</v>
      </c>
      <c r="L216" s="166">
        <v>3.6908186035599186</v>
      </c>
      <c r="M216" s="166">
        <v>3.5195186035599186</v>
      </c>
      <c r="N216" s="166">
        <v>1.0058187458141103</v>
      </c>
      <c r="O216" s="166">
        <v>4.5253373493740288</v>
      </c>
      <c r="P216" s="166">
        <v>3.814676092297522</v>
      </c>
      <c r="Q216" s="166">
        <v>0.46818750000000003</v>
      </c>
      <c r="R216" s="166">
        <v>4.282863592297522</v>
      </c>
      <c r="S216" s="26"/>
      <c r="T216" s="167">
        <f t="shared" si="19"/>
        <v>3.6179044331391199</v>
      </c>
      <c r="U216" s="167">
        <f t="shared" si="20"/>
        <v>4.1663398484104901</v>
      </c>
    </row>
    <row r="217" spans="5:21">
      <c r="E217" s="26">
        <f t="shared" si="17"/>
        <v>2034</v>
      </c>
      <c r="F217" s="26">
        <f t="shared" si="18"/>
        <v>11</v>
      </c>
      <c r="G217" s="165">
        <v>49249</v>
      </c>
      <c r="H217" s="26" t="s">
        <v>338</v>
      </c>
      <c r="I217" s="26"/>
      <c r="J217" s="166">
        <v>3.4549784081118884</v>
      </c>
      <c r="K217" s="166">
        <v>0.17129999999999992</v>
      </c>
      <c r="L217" s="166">
        <v>3.6262784081118884</v>
      </c>
      <c r="M217" s="166">
        <v>3.4549784081118884</v>
      </c>
      <c r="N217" s="166">
        <v>1.0058187458141103</v>
      </c>
      <c r="O217" s="166">
        <v>4.4607971539259985</v>
      </c>
      <c r="P217" s="166">
        <v>3.743683214074716</v>
      </c>
      <c r="Q217" s="166">
        <v>0.46818750000000003</v>
      </c>
      <c r="R217" s="166">
        <v>4.211870714074716</v>
      </c>
      <c r="S217" s="26"/>
      <c r="T217" s="167">
        <f t="shared" si="19"/>
        <v>3.5512133434328312</v>
      </c>
      <c r="U217" s="167">
        <f t="shared" si="20"/>
        <v>4.099648758704201</v>
      </c>
    </row>
    <row r="218" spans="5:21">
      <c r="E218" s="26">
        <f t="shared" si="17"/>
        <v>2034</v>
      </c>
      <c r="F218" s="26">
        <f t="shared" si="18"/>
        <v>12</v>
      </c>
      <c r="G218" s="165">
        <v>49279</v>
      </c>
      <c r="H218" s="26" t="s">
        <v>339</v>
      </c>
      <c r="I218" s="26"/>
      <c r="J218" s="166">
        <v>3.8199479855648231</v>
      </c>
      <c r="K218" s="166">
        <v>0.17129999999999992</v>
      </c>
      <c r="L218" s="166">
        <v>3.9912479855648231</v>
      </c>
      <c r="M218" s="166">
        <v>3.8199479855648231</v>
      </c>
      <c r="N218" s="166">
        <v>1.0058187458141103</v>
      </c>
      <c r="O218" s="166">
        <v>4.8257667313789332</v>
      </c>
      <c r="P218" s="166">
        <v>4.138001490772119</v>
      </c>
      <c r="Q218" s="166">
        <v>0.46818750000000003</v>
      </c>
      <c r="R218" s="166">
        <v>4.606188990772119</v>
      </c>
      <c r="S218" s="26"/>
      <c r="T218" s="167">
        <f>AVERAGE(J218,M218,P218)</f>
        <v>3.9259658206339219</v>
      </c>
      <c r="U218" s="167">
        <f t="shared" si="20"/>
        <v>4.4744012359052912</v>
      </c>
    </row>
    <row r="219" spans="5:21">
      <c r="E219" s="26">
        <f t="shared" si="17"/>
        <v>2035</v>
      </c>
      <c r="F219" s="26">
        <f t="shared" si="18"/>
        <v>1</v>
      </c>
      <c r="G219" s="165">
        <v>49310</v>
      </c>
      <c r="H219" s="26" t="s">
        <v>340</v>
      </c>
      <c r="I219" s="26"/>
      <c r="J219" s="166">
        <v>4.0691551244257891</v>
      </c>
      <c r="K219" s="166">
        <v>0.17129999999999992</v>
      </c>
      <c r="L219" s="166">
        <v>4.2404551244257886</v>
      </c>
      <c r="M219" s="166">
        <v>4.0691551244257891</v>
      </c>
      <c r="N219" s="166">
        <v>1.0058187458141103</v>
      </c>
      <c r="O219" s="166">
        <v>5.0749738702398997</v>
      </c>
      <c r="P219" s="166">
        <v>4.406735307625409</v>
      </c>
      <c r="Q219" s="166">
        <v>0.46818750000000003</v>
      </c>
      <c r="R219" s="166">
        <v>4.874922807625409</v>
      </c>
      <c r="S219" s="26"/>
      <c r="T219" s="167">
        <f t="shared" si="19"/>
        <v>4.181681852158996</v>
      </c>
      <c r="U219" s="167">
        <f t="shared" si="20"/>
        <v>4.7301172674303658</v>
      </c>
    </row>
    <row r="220" spans="5:21">
      <c r="E220" s="26">
        <f t="shared" si="17"/>
        <v>2035</v>
      </c>
      <c r="F220" s="26">
        <f t="shared" si="18"/>
        <v>2</v>
      </c>
      <c r="G220" s="165">
        <v>49341</v>
      </c>
      <c r="H220" s="26" t="s">
        <v>341</v>
      </c>
      <c r="I220" s="26"/>
      <c r="J220" s="166">
        <v>4.154184584583934</v>
      </c>
      <c r="K220" s="166">
        <v>0.17129999999999992</v>
      </c>
      <c r="L220" s="166">
        <v>4.3254845845839336</v>
      </c>
      <c r="M220" s="166">
        <v>4.154184584583934</v>
      </c>
      <c r="N220" s="166">
        <v>1.0058187458141103</v>
      </c>
      <c r="O220" s="166">
        <v>5.1600033303980446</v>
      </c>
      <c r="P220" s="166">
        <v>4.4975719591446621</v>
      </c>
      <c r="Q220" s="166">
        <v>0.46818750000000003</v>
      </c>
      <c r="R220" s="166">
        <v>4.9657594591446621</v>
      </c>
      <c r="S220" s="26"/>
      <c r="T220" s="167">
        <f t="shared" si="19"/>
        <v>4.2686470427708434</v>
      </c>
      <c r="U220" s="167">
        <f t="shared" si="20"/>
        <v>4.8170824580422131</v>
      </c>
    </row>
    <row r="221" spans="5:21">
      <c r="E221" s="26">
        <f t="shared" si="17"/>
        <v>2035</v>
      </c>
      <c r="F221" s="26">
        <f t="shared" si="18"/>
        <v>3</v>
      </c>
      <c r="G221" s="165">
        <v>49369</v>
      </c>
      <c r="H221" s="26" t="s">
        <v>342</v>
      </c>
      <c r="I221" s="26"/>
      <c r="J221" s="166">
        <v>3.7113197611234279</v>
      </c>
      <c r="K221" s="166">
        <v>0.17129999999999992</v>
      </c>
      <c r="L221" s="166">
        <v>3.8826197611234279</v>
      </c>
      <c r="M221" s="166">
        <v>3.7113197611234279</v>
      </c>
      <c r="N221" s="166">
        <v>1.0058187458141103</v>
      </c>
      <c r="O221" s="166">
        <v>4.7171385069375384</v>
      </c>
      <c r="P221" s="166">
        <v>4.0169867861144111</v>
      </c>
      <c r="Q221" s="166">
        <v>0.46818750000000003</v>
      </c>
      <c r="R221" s="166">
        <v>4.485174286114411</v>
      </c>
      <c r="S221" s="26"/>
      <c r="T221" s="167">
        <f t="shared" si="19"/>
        <v>3.8132087694537553</v>
      </c>
      <c r="U221" s="167">
        <f t="shared" si="20"/>
        <v>4.3616441847251259</v>
      </c>
    </row>
    <row r="222" spans="5:21">
      <c r="E222" s="26">
        <f t="shared" si="17"/>
        <v>2035</v>
      </c>
      <c r="F222" s="26">
        <f t="shared" si="18"/>
        <v>4</v>
      </c>
      <c r="G222" s="165">
        <v>49400</v>
      </c>
      <c r="H222" s="26" t="s">
        <v>343</v>
      </c>
      <c r="I222" s="26"/>
      <c r="J222" s="166">
        <v>3.7070089931815238</v>
      </c>
      <c r="K222" s="166">
        <v>0.17129999999999992</v>
      </c>
      <c r="L222" s="166">
        <v>3.8783089931815238</v>
      </c>
      <c r="M222" s="166">
        <v>3.7070089931815238</v>
      </c>
      <c r="N222" s="166">
        <v>1.0058187458141103</v>
      </c>
      <c r="O222" s="166">
        <v>4.7128277389956343</v>
      </c>
      <c r="P222" s="166">
        <v>4.0112104983322467</v>
      </c>
      <c r="Q222" s="166">
        <v>0.46818750000000003</v>
      </c>
      <c r="R222" s="166">
        <v>4.4793979983322467</v>
      </c>
      <c r="S222" s="26"/>
      <c r="T222" s="167">
        <f t="shared" si="19"/>
        <v>3.8084094948984313</v>
      </c>
      <c r="U222" s="167">
        <f t="shared" si="20"/>
        <v>4.3568449101698015</v>
      </c>
    </row>
    <row r="223" spans="5:21">
      <c r="E223" s="26">
        <f t="shared" si="17"/>
        <v>2035</v>
      </c>
      <c r="F223" s="26">
        <f t="shared" si="18"/>
        <v>5</v>
      </c>
      <c r="G223" s="165">
        <v>49430</v>
      </c>
      <c r="H223" s="26" t="s">
        <v>344</v>
      </c>
      <c r="I223" s="26"/>
      <c r="J223" s="166">
        <v>3.9009031673780514</v>
      </c>
      <c r="K223" s="166">
        <v>0.17129999999999992</v>
      </c>
      <c r="L223" s="166">
        <v>4.072203167378051</v>
      </c>
      <c r="M223" s="166">
        <v>3.9009031673780514</v>
      </c>
      <c r="N223" s="166">
        <v>1.0058187458141103</v>
      </c>
      <c r="O223" s="166">
        <v>4.906721913192162</v>
      </c>
      <c r="P223" s="166">
        <v>4.2198484513643679</v>
      </c>
      <c r="Q223" s="166">
        <v>0.46818750000000003</v>
      </c>
      <c r="R223" s="166">
        <v>4.6880359513643679</v>
      </c>
      <c r="S223" s="26"/>
      <c r="T223" s="167">
        <f t="shared" si="19"/>
        <v>4.0072182620401575</v>
      </c>
      <c r="U223" s="167">
        <f t="shared" si="20"/>
        <v>4.5556536773115273</v>
      </c>
    </row>
    <row r="224" spans="5:21">
      <c r="E224" s="26">
        <f t="shared" si="17"/>
        <v>2035</v>
      </c>
      <c r="F224" s="26">
        <f t="shared" si="18"/>
        <v>6</v>
      </c>
      <c r="G224" s="165">
        <v>49461</v>
      </c>
      <c r="H224" s="26" t="s">
        <v>345</v>
      </c>
      <c r="I224" s="26"/>
      <c r="J224" s="166">
        <v>3.7789035172893071</v>
      </c>
      <c r="K224" s="166">
        <v>0.17129999999999992</v>
      </c>
      <c r="L224" s="166">
        <v>3.9502035172893071</v>
      </c>
      <c r="M224" s="166">
        <v>3.7789035172893071</v>
      </c>
      <c r="N224" s="166">
        <v>1.0058187458141103</v>
      </c>
      <c r="O224" s="166">
        <v>4.7847222631034176</v>
      </c>
      <c r="P224" s="166">
        <v>4.0879117836799441</v>
      </c>
      <c r="Q224" s="166">
        <v>0.46818750000000003</v>
      </c>
      <c r="R224" s="166">
        <v>4.5560992836799441</v>
      </c>
      <c r="S224" s="26"/>
      <c r="T224" s="167">
        <f t="shared" si="19"/>
        <v>3.8819062727528526</v>
      </c>
      <c r="U224" s="167">
        <f t="shared" si="20"/>
        <v>4.4303416880242237</v>
      </c>
    </row>
    <row r="225" spans="5:21">
      <c r="E225" s="26">
        <f t="shared" si="17"/>
        <v>2035</v>
      </c>
      <c r="F225" s="26">
        <f t="shared" si="18"/>
        <v>7</v>
      </c>
      <c r="G225" s="165">
        <v>49491</v>
      </c>
      <c r="H225" s="26" t="s">
        <v>346</v>
      </c>
      <c r="I225" s="26"/>
      <c r="J225" s="166">
        <v>3.8177603416121606</v>
      </c>
      <c r="K225" s="166">
        <v>0.17129999999999992</v>
      </c>
      <c r="L225" s="166">
        <v>3.9890603416121606</v>
      </c>
      <c r="M225" s="166">
        <v>3.8177603416121606</v>
      </c>
      <c r="N225" s="166">
        <v>1.0058187458141103</v>
      </c>
      <c r="O225" s="166">
        <v>4.8235790874262712</v>
      </c>
      <c r="P225" s="166">
        <v>4.1290019803927871</v>
      </c>
      <c r="Q225" s="166">
        <v>0.46818750000000003</v>
      </c>
      <c r="R225" s="166">
        <v>4.5971894803927871</v>
      </c>
      <c r="S225" s="26"/>
      <c r="T225" s="167">
        <f t="shared" si="19"/>
        <v>3.9215075545390357</v>
      </c>
      <c r="U225" s="167">
        <f t="shared" si="20"/>
        <v>4.4699429698104067</v>
      </c>
    </row>
    <row r="226" spans="5:21">
      <c r="E226" s="26">
        <f t="shared" si="17"/>
        <v>2035</v>
      </c>
      <c r="F226" s="26">
        <f t="shared" si="18"/>
        <v>8</v>
      </c>
      <c r="G226" s="165">
        <v>49522</v>
      </c>
      <c r="H226" s="26" t="s">
        <v>347</v>
      </c>
      <c r="I226" s="26"/>
      <c r="J226" s="166">
        <v>3.8481674732560136</v>
      </c>
      <c r="K226" s="166">
        <v>0.17129999999999992</v>
      </c>
      <c r="L226" s="166">
        <v>4.0194674732560136</v>
      </c>
      <c r="M226" s="166">
        <v>3.8481674732560136</v>
      </c>
      <c r="N226" s="166">
        <v>1.0058187458141103</v>
      </c>
      <c r="O226" s="166">
        <v>4.8539862190701237</v>
      </c>
      <c r="P226" s="166">
        <v>4.1609375285266612</v>
      </c>
      <c r="Q226" s="166">
        <v>0.46818750000000003</v>
      </c>
      <c r="R226" s="166">
        <v>4.6291250285266612</v>
      </c>
      <c r="S226" s="26"/>
      <c r="T226" s="167">
        <f t="shared" si="19"/>
        <v>3.9524241583462292</v>
      </c>
      <c r="U226" s="167">
        <f t="shared" si="20"/>
        <v>4.5008595736175998</v>
      </c>
    </row>
    <row r="227" spans="5:21">
      <c r="E227" s="26">
        <f t="shared" si="17"/>
        <v>2035</v>
      </c>
      <c r="F227" s="26">
        <f t="shared" si="18"/>
        <v>9</v>
      </c>
      <c r="G227" s="165">
        <v>49553</v>
      </c>
      <c r="H227" s="26" t="s">
        <v>348</v>
      </c>
      <c r="I227" s="26"/>
      <c r="J227" s="166">
        <v>3.5072633821821784</v>
      </c>
      <c r="K227" s="166">
        <v>0.17129999999999992</v>
      </c>
      <c r="L227" s="166">
        <v>3.6785633821821784</v>
      </c>
      <c r="M227" s="166">
        <v>3.5072633821821784</v>
      </c>
      <c r="N227" s="166">
        <v>1.0058187458141103</v>
      </c>
      <c r="O227" s="166">
        <v>4.5130821279962889</v>
      </c>
      <c r="P227" s="166">
        <v>3.7914601768274641</v>
      </c>
      <c r="Q227" s="166">
        <v>0.46818750000000003</v>
      </c>
      <c r="R227" s="166">
        <v>4.2596476768274645</v>
      </c>
      <c r="S227" s="26"/>
      <c r="T227" s="167">
        <f t="shared" si="19"/>
        <v>3.6019956470639403</v>
      </c>
      <c r="U227" s="167">
        <f t="shared" si="20"/>
        <v>4.1504310623353105</v>
      </c>
    </row>
    <row r="228" spans="5:21">
      <c r="E228" s="26">
        <f t="shared" si="17"/>
        <v>2035</v>
      </c>
      <c r="F228" s="26">
        <f t="shared" si="18"/>
        <v>10</v>
      </c>
      <c r="G228" s="165">
        <v>49583</v>
      </c>
      <c r="H228" s="26" t="s">
        <v>349</v>
      </c>
      <c r="I228" s="26"/>
      <c r="J228" s="166">
        <v>3.5421684443353803</v>
      </c>
      <c r="K228" s="166">
        <v>0.17129999999999992</v>
      </c>
      <c r="L228" s="166">
        <v>3.7134684443353803</v>
      </c>
      <c r="M228" s="166">
        <v>3.5421684443353803</v>
      </c>
      <c r="N228" s="166">
        <v>1.0058187458141103</v>
      </c>
      <c r="O228" s="166">
        <v>4.5479871901494908</v>
      </c>
      <c r="P228" s="166">
        <v>3.8283205875061674</v>
      </c>
      <c r="Q228" s="166">
        <v>0.46818750000000003</v>
      </c>
      <c r="R228" s="166">
        <v>4.2965080875061679</v>
      </c>
      <c r="S228" s="26"/>
      <c r="T228" s="167">
        <f t="shared" si="19"/>
        <v>3.6375524920589761</v>
      </c>
      <c r="U228" s="167">
        <f t="shared" si="20"/>
        <v>4.1859879073303468</v>
      </c>
    </row>
    <row r="229" spans="5:21">
      <c r="E229" s="26">
        <f t="shared" si="17"/>
        <v>2035</v>
      </c>
      <c r="F229" s="26">
        <f t="shared" si="18"/>
        <v>11</v>
      </c>
      <c r="G229" s="165">
        <v>49614</v>
      </c>
      <c r="H229" s="26" t="s">
        <v>350</v>
      </c>
      <c r="I229" s="26"/>
      <c r="J229" s="166">
        <v>3.4773587664561867</v>
      </c>
      <c r="K229" s="166">
        <v>0.17129999999999992</v>
      </c>
      <c r="L229" s="166">
        <v>3.6486587664561867</v>
      </c>
      <c r="M229" s="166">
        <v>3.4773587664561867</v>
      </c>
      <c r="N229" s="166">
        <v>1.0058187458141103</v>
      </c>
      <c r="O229" s="166">
        <v>4.4831775122702968</v>
      </c>
      <c r="P229" s="166">
        <v>3.7574191537503805</v>
      </c>
      <c r="Q229" s="166">
        <v>0.46818750000000003</v>
      </c>
      <c r="R229" s="166">
        <v>4.2256066537503809</v>
      </c>
      <c r="S229" s="26"/>
      <c r="T229" s="167">
        <f t="shared" si="19"/>
        <v>3.5707122288875848</v>
      </c>
      <c r="U229" s="167">
        <f t="shared" si="20"/>
        <v>4.1191476441589545</v>
      </c>
    </row>
    <row r="230" spans="5:21">
      <c r="E230" s="26">
        <f t="shared" si="17"/>
        <v>2035</v>
      </c>
      <c r="F230" s="26">
        <f t="shared" si="18"/>
        <v>12</v>
      </c>
      <c r="G230" s="165">
        <v>49644</v>
      </c>
      <c r="H230" s="26" t="s">
        <v>351</v>
      </c>
      <c r="I230" s="26"/>
      <c r="J230" s="166">
        <v>3.8448536257052921</v>
      </c>
      <c r="K230" s="166">
        <v>0.17129999999999992</v>
      </c>
      <c r="L230" s="166">
        <v>4.0161536257052921</v>
      </c>
      <c r="M230" s="166">
        <v>3.8448536257052921</v>
      </c>
      <c r="N230" s="166">
        <v>1.0058187458141103</v>
      </c>
      <c r="O230" s="166">
        <v>4.8506723715194022</v>
      </c>
      <c r="P230" s="166">
        <v>4.1535658072350072</v>
      </c>
      <c r="Q230" s="166">
        <v>0.46818750000000003</v>
      </c>
      <c r="R230" s="166">
        <v>4.6217533072350072</v>
      </c>
      <c r="S230" s="26"/>
      <c r="T230" s="167">
        <f t="shared" si="19"/>
        <v>3.9477576862151973</v>
      </c>
      <c r="U230" s="167">
        <f t="shared" si="20"/>
        <v>4.4961931014865675</v>
      </c>
    </row>
    <row r="231" spans="5:21">
      <c r="E231" s="26">
        <f t="shared" si="17"/>
        <v>2036</v>
      </c>
      <c r="F231" s="26">
        <f t="shared" si="18"/>
        <v>1</v>
      </c>
      <c r="G231" s="165">
        <v>49675</v>
      </c>
      <c r="H231" s="26" t="s">
        <v>352</v>
      </c>
      <c r="I231" s="26"/>
      <c r="J231" s="166">
        <v>4.0958570212690741</v>
      </c>
      <c r="K231" s="166">
        <v>0.17129999999999992</v>
      </c>
      <c r="L231" s="166">
        <v>4.2671570212690737</v>
      </c>
      <c r="M231" s="166">
        <v>4.0958570212690741</v>
      </c>
      <c r="N231" s="166">
        <v>1.0058187458141103</v>
      </c>
      <c r="O231" s="166">
        <v>5.1016757670831847</v>
      </c>
      <c r="P231" s="166">
        <v>4.4237166025195496</v>
      </c>
      <c r="Q231" s="166">
        <v>0.46818750000000003</v>
      </c>
      <c r="R231" s="166">
        <v>4.8919041025195495</v>
      </c>
      <c r="S231" s="26"/>
      <c r="T231" s="167">
        <f t="shared" si="19"/>
        <v>4.2051435483525657</v>
      </c>
      <c r="U231" s="167">
        <f t="shared" si="20"/>
        <v>4.7535789636239363</v>
      </c>
    </row>
    <row r="232" spans="5:21">
      <c r="E232" s="26">
        <f t="shared" si="17"/>
        <v>2036</v>
      </c>
      <c r="F232" s="26">
        <f t="shared" si="18"/>
        <v>2</v>
      </c>
      <c r="G232" s="165">
        <v>49706</v>
      </c>
      <c r="H232" s="26" t="s">
        <v>353</v>
      </c>
      <c r="I232" s="26"/>
      <c r="J232" s="166">
        <v>4.1816193090341818</v>
      </c>
      <c r="K232" s="166">
        <v>0.17129999999999992</v>
      </c>
      <c r="L232" s="166">
        <v>4.3529193090341813</v>
      </c>
      <c r="M232" s="166">
        <v>4.1816193090341818</v>
      </c>
      <c r="N232" s="166">
        <v>1.0058187458141103</v>
      </c>
      <c r="O232" s="166">
        <v>5.1874380548482923</v>
      </c>
      <c r="P232" s="166">
        <v>4.5153176685385192</v>
      </c>
      <c r="Q232" s="166">
        <v>0.46818750000000003</v>
      </c>
      <c r="R232" s="166">
        <v>4.9835051685385192</v>
      </c>
      <c r="S232" s="26"/>
      <c r="T232" s="167">
        <f t="shared" si="19"/>
        <v>4.2928520955356282</v>
      </c>
      <c r="U232" s="167">
        <f t="shared" si="20"/>
        <v>4.8412875108069979</v>
      </c>
    </row>
    <row r="233" spans="5:21">
      <c r="E233" s="26">
        <f t="shared" si="17"/>
        <v>2036</v>
      </c>
      <c r="F233" s="26">
        <f t="shared" si="18"/>
        <v>3</v>
      </c>
      <c r="G233" s="165">
        <v>49735</v>
      </c>
      <c r="H233" s="26" t="s">
        <v>354</v>
      </c>
      <c r="I233" s="26"/>
      <c r="J233" s="166">
        <v>3.7359858194232216</v>
      </c>
      <c r="K233" s="166">
        <v>0.17129999999999992</v>
      </c>
      <c r="L233" s="166">
        <v>3.9072858194232216</v>
      </c>
      <c r="M233" s="166">
        <v>3.7359858194232216</v>
      </c>
      <c r="N233" s="166">
        <v>1.0058187458141103</v>
      </c>
      <c r="O233" s="166">
        <v>4.7418045652373317</v>
      </c>
      <c r="P233" s="166">
        <v>4.0332062247788425</v>
      </c>
      <c r="Q233" s="166">
        <v>0.46818750000000003</v>
      </c>
      <c r="R233" s="166">
        <v>4.5013937247788425</v>
      </c>
      <c r="S233" s="26"/>
      <c r="T233" s="167">
        <f t="shared" si="19"/>
        <v>3.8350592878750951</v>
      </c>
      <c r="U233" s="167">
        <f t="shared" si="20"/>
        <v>4.3834947031464653</v>
      </c>
    </row>
    <row r="234" spans="5:21">
      <c r="E234" s="26">
        <f t="shared" si="17"/>
        <v>2036</v>
      </c>
      <c r="F234" s="26">
        <f t="shared" si="18"/>
        <v>4</v>
      </c>
      <c r="G234" s="165">
        <v>49766</v>
      </c>
      <c r="H234" s="26" t="s">
        <v>355</v>
      </c>
      <c r="I234" s="26"/>
      <c r="J234" s="166">
        <v>3.7318021305115376</v>
      </c>
      <c r="K234" s="166">
        <v>0.17129999999999992</v>
      </c>
      <c r="L234" s="166">
        <v>3.9031021305115376</v>
      </c>
      <c r="M234" s="166">
        <v>3.7318021305115376</v>
      </c>
      <c r="N234" s="166">
        <v>1.0058187458141103</v>
      </c>
      <c r="O234" s="166">
        <v>4.7376208763256482</v>
      </c>
      <c r="P234" s="166">
        <v>4.0277758550370724</v>
      </c>
      <c r="Q234" s="166">
        <v>0.46818750000000003</v>
      </c>
      <c r="R234" s="166">
        <v>4.4959633550370723</v>
      </c>
      <c r="S234" s="26"/>
      <c r="T234" s="167">
        <f t="shared" si="19"/>
        <v>3.830460038686716</v>
      </c>
      <c r="U234" s="167">
        <f t="shared" si="20"/>
        <v>4.3788954539580862</v>
      </c>
    </row>
    <row r="235" spans="5:21">
      <c r="E235" s="26">
        <f t="shared" si="17"/>
        <v>2036</v>
      </c>
      <c r="F235" s="26">
        <f t="shared" si="18"/>
        <v>5</v>
      </c>
      <c r="G235" s="165">
        <v>49796</v>
      </c>
      <c r="H235" s="26" t="s">
        <v>356</v>
      </c>
      <c r="I235" s="26"/>
      <c r="J235" s="166">
        <v>3.9271568152350929</v>
      </c>
      <c r="K235" s="166">
        <v>0.17129999999999992</v>
      </c>
      <c r="L235" s="166">
        <v>4.0984568152350924</v>
      </c>
      <c r="M235" s="166">
        <v>3.9271568152350929</v>
      </c>
      <c r="N235" s="166">
        <v>1.0058187458141103</v>
      </c>
      <c r="O235" s="166">
        <v>4.9329755610492034</v>
      </c>
      <c r="P235" s="166">
        <v>4.2376637093588077</v>
      </c>
      <c r="Q235" s="166">
        <v>0.46818750000000003</v>
      </c>
      <c r="R235" s="166">
        <v>4.7058512093588076</v>
      </c>
      <c r="S235" s="26"/>
      <c r="T235" s="167">
        <f t="shared" si="19"/>
        <v>4.0306591132763314</v>
      </c>
      <c r="U235" s="167">
        <f t="shared" si="20"/>
        <v>4.579094528547702</v>
      </c>
    </row>
    <row r="236" spans="5:21">
      <c r="E236" s="26">
        <f t="shared" si="17"/>
        <v>2036</v>
      </c>
      <c r="F236" s="26">
        <f t="shared" si="18"/>
        <v>6</v>
      </c>
      <c r="G236" s="165">
        <v>49827</v>
      </c>
      <c r="H236" s="26" t="s">
        <v>357</v>
      </c>
      <c r="I236" s="26"/>
      <c r="J236" s="166">
        <v>1.8955912529134145</v>
      </c>
      <c r="K236" s="166">
        <v>0.17129999999999992</v>
      </c>
      <c r="L236" s="166">
        <v>2.0668912529134142</v>
      </c>
      <c r="M236" s="166">
        <v>1.8955912529134145</v>
      </c>
      <c r="N236" s="166">
        <v>1.0058187458141103</v>
      </c>
      <c r="O236" s="166">
        <v>2.9014099987275248</v>
      </c>
      <c r="P236" s="166">
        <v>2.0477926545644847</v>
      </c>
      <c r="Q236" s="166">
        <v>0.46818750000000003</v>
      </c>
      <c r="R236" s="166">
        <v>2.5159801545644846</v>
      </c>
      <c r="S236" s="26"/>
      <c r="T236" s="167">
        <f t="shared" si="19"/>
        <v>1.9463250534637713</v>
      </c>
      <c r="U236" s="167">
        <f t="shared" si="20"/>
        <v>2.4947604687351412</v>
      </c>
    </row>
    <row r="237" spans="5:21">
      <c r="E237" s="26">
        <f t="shared" si="17"/>
        <v>2036</v>
      </c>
      <c r="F237" s="26">
        <f t="shared" si="18"/>
        <v>7</v>
      </c>
      <c r="G237" s="165">
        <v>49857</v>
      </c>
      <c r="H237" s="26" t="s">
        <v>358</v>
      </c>
      <c r="I237" s="26"/>
      <c r="J237" s="166">
        <v>1.5950385220301391</v>
      </c>
      <c r="K237" s="166">
        <v>0.17129999999999992</v>
      </c>
      <c r="L237" s="166">
        <v>1.7663385220301391</v>
      </c>
      <c r="M237" s="166">
        <v>1.5950385220301391</v>
      </c>
      <c r="N237" s="166">
        <v>1.0058187458141103</v>
      </c>
      <c r="O237" s="166">
        <v>2.6008572678442494</v>
      </c>
      <c r="P237" s="166">
        <v>1.7231078504612134</v>
      </c>
      <c r="Q237" s="166">
        <v>0.46818750000000003</v>
      </c>
      <c r="R237" s="166">
        <v>2.1912953504612136</v>
      </c>
      <c r="S237" s="26"/>
      <c r="T237" s="167">
        <f t="shared" si="19"/>
        <v>1.6377282981738306</v>
      </c>
      <c r="U237" s="167">
        <f t="shared" si="20"/>
        <v>2.1861637134452008</v>
      </c>
    </row>
    <row r="238" spans="5:21">
      <c r="E238" s="26">
        <f t="shared" si="17"/>
        <v>2036</v>
      </c>
      <c r="F238" s="26">
        <f t="shared" si="18"/>
        <v>8</v>
      </c>
      <c r="G238" s="165">
        <v>49888</v>
      </c>
      <c r="H238" s="26" t="s">
        <v>359</v>
      </c>
      <c r="I238" s="26"/>
      <c r="J238" s="166">
        <v>1.2854981628240036</v>
      </c>
      <c r="K238" s="166">
        <v>0.17129999999999992</v>
      </c>
      <c r="L238" s="166">
        <v>1.4567981628240037</v>
      </c>
      <c r="M238" s="166">
        <v>1.2854981628240036</v>
      </c>
      <c r="N238" s="166">
        <v>1.0058187458141103</v>
      </c>
      <c r="O238" s="166">
        <v>2.2913169086381142</v>
      </c>
      <c r="P238" s="166">
        <v>1.3887137805902177</v>
      </c>
      <c r="Q238" s="166">
        <v>0.46818750000000003</v>
      </c>
      <c r="R238" s="166">
        <v>1.8569012805902176</v>
      </c>
      <c r="S238" s="26"/>
      <c r="T238" s="167">
        <f t="shared" si="19"/>
        <v>1.3199033687460748</v>
      </c>
      <c r="U238" s="167">
        <f t="shared" si="20"/>
        <v>1.8683387840174452</v>
      </c>
    </row>
    <row r="239" spans="5:21">
      <c r="E239" s="26">
        <f t="shared" si="17"/>
        <v>2036</v>
      </c>
      <c r="F239" s="26">
        <f t="shared" si="18"/>
        <v>9</v>
      </c>
      <c r="G239" s="165">
        <v>49919</v>
      </c>
      <c r="H239" s="26" t="s">
        <v>360</v>
      </c>
      <c r="I239" s="26"/>
      <c r="J239" s="166">
        <v>0.87823807663830855</v>
      </c>
      <c r="K239" s="166">
        <v>0.17129999999999992</v>
      </c>
      <c r="L239" s="166">
        <v>1.0495380766383084</v>
      </c>
      <c r="M239" s="166">
        <v>0.87823807663830855</v>
      </c>
      <c r="N239" s="166">
        <v>1.0058187458141103</v>
      </c>
      <c r="O239" s="166">
        <v>1.8840568224524188</v>
      </c>
      <c r="P239" s="166">
        <v>0.94875384106919469</v>
      </c>
      <c r="Q239" s="166">
        <v>0.46818750000000003</v>
      </c>
      <c r="R239" s="166">
        <v>1.4169413410691947</v>
      </c>
      <c r="S239" s="26"/>
      <c r="T239" s="167">
        <f t="shared" si="19"/>
        <v>0.90174333144860397</v>
      </c>
      <c r="U239" s="167">
        <f t="shared" si="20"/>
        <v>1.450178746719974</v>
      </c>
    </row>
    <row r="240" spans="5:21">
      <c r="E240" s="26">
        <f t="shared" si="17"/>
        <v>2036</v>
      </c>
      <c r="F240" s="26">
        <f t="shared" si="18"/>
        <v>10</v>
      </c>
      <c r="G240" s="165">
        <v>49949</v>
      </c>
      <c r="H240" s="26" t="s">
        <v>361</v>
      </c>
      <c r="I240" s="26"/>
      <c r="J240" s="166">
        <v>0.59099945594303904</v>
      </c>
      <c r="K240" s="166">
        <v>0.17129999999999992</v>
      </c>
      <c r="L240" s="166">
        <v>0.76229945594303894</v>
      </c>
      <c r="M240" s="166">
        <v>0.59099945594303904</v>
      </c>
      <c r="N240" s="166">
        <v>1.0058187458141103</v>
      </c>
      <c r="O240" s="166">
        <v>1.5968182017571495</v>
      </c>
      <c r="P240" s="166">
        <v>0.63845216782451764</v>
      </c>
      <c r="Q240" s="166">
        <v>0.46818750000000003</v>
      </c>
      <c r="R240" s="166">
        <v>1.1066396678245176</v>
      </c>
      <c r="S240" s="26"/>
      <c r="T240" s="167">
        <f t="shared" si="19"/>
        <v>0.60681702657019854</v>
      </c>
      <c r="U240" s="167">
        <f t="shared" si="20"/>
        <v>1.1552524418415686</v>
      </c>
    </row>
    <row r="241" spans="5:21">
      <c r="E241" s="26">
        <f t="shared" si="17"/>
        <v>2036</v>
      </c>
      <c r="F241" s="26">
        <f t="shared" si="18"/>
        <v>11</v>
      </c>
      <c r="G241" s="165">
        <v>49980</v>
      </c>
      <c r="H241" s="26" t="s">
        <v>362</v>
      </c>
      <c r="I241" s="26"/>
      <c r="J241" s="166">
        <v>0.28993640623598116</v>
      </c>
      <c r="K241" s="166">
        <v>0.17129999999999992</v>
      </c>
      <c r="L241" s="166">
        <v>0.46123640623598106</v>
      </c>
      <c r="M241" s="166">
        <v>0.28993640623598116</v>
      </c>
      <c r="N241" s="166">
        <v>1.0058187458141103</v>
      </c>
      <c r="O241" s="166">
        <v>1.2957551520500914</v>
      </c>
      <c r="P241" s="166">
        <v>0.3132160702199584</v>
      </c>
      <c r="Q241" s="166">
        <v>0.46818750000000003</v>
      </c>
      <c r="R241" s="166">
        <v>0.78140357021995843</v>
      </c>
      <c r="S241" s="26"/>
      <c r="T241" s="167">
        <f t="shared" si="19"/>
        <v>0.29769629423064026</v>
      </c>
      <c r="U241" s="167">
        <f t="shared" si="20"/>
        <v>0.84613170950201033</v>
      </c>
    </row>
    <row r="242" spans="5:21">
      <c r="E242" s="26">
        <f t="shared" si="17"/>
        <v>2036</v>
      </c>
      <c r="F242" s="26">
        <f t="shared" si="18"/>
        <v>12</v>
      </c>
      <c r="G242" s="165">
        <v>50010</v>
      </c>
      <c r="H242" s="26" t="s">
        <v>363</v>
      </c>
      <c r="I242" s="26"/>
      <c r="J242" s="166">
        <v>4.4802650295074136E-16</v>
      </c>
      <c r="K242" s="166">
        <v>0.17129999999999992</v>
      </c>
      <c r="L242" s="166">
        <v>0.17130000000000037</v>
      </c>
      <c r="M242" s="166">
        <v>4.4802650295074136E-16</v>
      </c>
      <c r="N242" s="166">
        <v>1.0058187458141103</v>
      </c>
      <c r="O242" s="166">
        <v>1.0058187458141108</v>
      </c>
      <c r="P242" s="166">
        <v>0</v>
      </c>
      <c r="Q242" s="166">
        <v>0.46818750000000003</v>
      </c>
      <c r="R242" s="166">
        <v>0.46818750000000003</v>
      </c>
      <c r="S242" s="26"/>
      <c r="T242" s="167">
        <f t="shared" si="19"/>
        <v>2.9868433530049424E-16</v>
      </c>
      <c r="U242" s="167">
        <f t="shared" si="20"/>
        <v>0.54843541527137041</v>
      </c>
    </row>
    <row r="243" spans="5:21">
      <c r="E243" s="26"/>
      <c r="F243" s="26"/>
      <c r="G243" s="165"/>
      <c r="H243" s="26"/>
      <c r="I243" s="26"/>
      <c r="J243" s="166"/>
      <c r="K243" s="166"/>
      <c r="L243" s="166"/>
      <c r="M243" s="166"/>
      <c r="N243" s="166"/>
      <c r="O243" s="166"/>
      <c r="P243" s="166"/>
      <c r="Q243" s="166"/>
      <c r="R243" s="166"/>
      <c r="S243" s="26"/>
      <c r="T243" s="166"/>
      <c r="U243" s="166"/>
    </row>
    <row r="244" spans="5:21">
      <c r="E244" s="26"/>
      <c r="F244" s="26"/>
      <c r="G244" s="165"/>
      <c r="H244" s="26"/>
      <c r="I244" s="26"/>
      <c r="J244" s="166"/>
      <c r="K244" s="166"/>
      <c r="L244" s="166"/>
      <c r="M244" s="166"/>
      <c r="N244" s="166"/>
      <c r="O244" s="166"/>
      <c r="P244" s="166"/>
      <c r="Q244" s="166"/>
      <c r="R244" s="166"/>
      <c r="S244" s="26"/>
      <c r="T244" s="166"/>
      <c r="U244" s="166"/>
    </row>
    <row r="245" spans="5:21">
      <c r="E245" s="26"/>
      <c r="F245" s="26"/>
      <c r="G245" s="165"/>
      <c r="H245" s="26"/>
      <c r="I245" s="26"/>
      <c r="J245" s="166"/>
      <c r="K245" s="166"/>
      <c r="L245" s="166"/>
      <c r="M245" s="166"/>
      <c r="N245" s="166"/>
      <c r="O245" s="166"/>
      <c r="P245" s="166"/>
      <c r="Q245" s="166"/>
      <c r="R245" s="166"/>
      <c r="S245" s="26"/>
      <c r="T245" s="166"/>
      <c r="U245" s="166"/>
    </row>
    <row r="246" spans="5:21">
      <c r="E246" s="26"/>
      <c r="F246" s="26"/>
      <c r="G246" s="165"/>
      <c r="H246" s="26"/>
      <c r="I246" s="26"/>
      <c r="J246" s="166"/>
      <c r="K246" s="166"/>
      <c r="L246" s="166"/>
      <c r="M246" s="166"/>
      <c r="N246" s="166"/>
      <c r="O246" s="166"/>
      <c r="P246" s="166"/>
      <c r="Q246" s="166"/>
      <c r="R246" s="166"/>
      <c r="S246" s="26"/>
      <c r="T246" s="166"/>
      <c r="U246" s="166"/>
    </row>
    <row r="247" spans="5:21">
      <c r="E247" s="26"/>
      <c r="F247" s="26"/>
      <c r="G247" s="165"/>
      <c r="H247" s="26"/>
      <c r="I247" s="26"/>
      <c r="J247" s="166"/>
      <c r="K247" s="166"/>
      <c r="L247" s="166"/>
      <c r="M247" s="166"/>
      <c r="N247" s="166"/>
      <c r="O247" s="166"/>
      <c r="P247" s="166"/>
      <c r="Q247" s="166"/>
      <c r="R247" s="166"/>
      <c r="S247" s="26"/>
      <c r="T247" s="166"/>
      <c r="U247" s="166"/>
    </row>
    <row r="248" spans="5:21">
      <c r="E248" s="26"/>
      <c r="F248" s="26"/>
      <c r="G248" s="165"/>
      <c r="H248" s="26"/>
      <c r="I248" s="26"/>
      <c r="J248" s="166"/>
      <c r="K248" s="166"/>
      <c r="L248" s="166"/>
      <c r="M248" s="166"/>
      <c r="N248" s="166"/>
      <c r="O248" s="166"/>
      <c r="P248" s="166"/>
      <c r="Q248" s="166"/>
      <c r="R248" s="166"/>
      <c r="S248" s="26"/>
      <c r="T248" s="166"/>
      <c r="U248" s="166"/>
    </row>
    <row r="249" spans="5:21">
      <c r="E249" s="26"/>
      <c r="F249" s="26"/>
      <c r="G249" s="165"/>
      <c r="H249" s="26"/>
      <c r="I249" s="26"/>
      <c r="J249" s="166"/>
      <c r="K249" s="166"/>
      <c r="L249" s="166"/>
      <c r="M249" s="166"/>
      <c r="N249" s="166"/>
      <c r="O249" s="166"/>
      <c r="P249" s="166"/>
      <c r="Q249" s="166"/>
      <c r="R249" s="166"/>
      <c r="S249" s="26"/>
      <c r="T249" s="166"/>
      <c r="U249" s="166"/>
    </row>
    <row r="250" spans="5:21">
      <c r="E250" s="26"/>
      <c r="F250" s="26"/>
      <c r="G250" s="165"/>
      <c r="H250" s="26"/>
      <c r="I250" s="26"/>
      <c r="J250" s="166"/>
      <c r="K250" s="166"/>
      <c r="L250" s="166"/>
      <c r="M250" s="166"/>
      <c r="N250" s="166"/>
      <c r="O250" s="166"/>
      <c r="P250" s="166"/>
      <c r="Q250" s="166"/>
      <c r="R250" s="166"/>
      <c r="S250" s="26"/>
      <c r="T250" s="166"/>
      <c r="U250" s="166"/>
    </row>
    <row r="251" spans="5:21">
      <c r="E251" s="26"/>
      <c r="F251" s="26"/>
      <c r="G251" s="165"/>
      <c r="H251" s="26"/>
      <c r="I251" s="26"/>
      <c r="J251" s="166"/>
      <c r="K251" s="166"/>
      <c r="L251" s="166"/>
      <c r="M251" s="166"/>
      <c r="N251" s="166"/>
      <c r="O251" s="166"/>
      <c r="P251" s="166"/>
      <c r="Q251" s="166"/>
      <c r="R251" s="166"/>
      <c r="S251" s="26"/>
      <c r="T251" s="166"/>
      <c r="U251" s="166"/>
    </row>
    <row r="252" spans="5:21">
      <c r="E252" s="26"/>
      <c r="F252" s="26"/>
      <c r="G252" s="165"/>
      <c r="H252" s="26"/>
      <c r="I252" s="26"/>
      <c r="J252" s="166"/>
      <c r="K252" s="166"/>
      <c r="L252" s="166"/>
      <c r="M252" s="166"/>
      <c r="N252" s="166"/>
      <c r="O252" s="166"/>
      <c r="P252" s="166"/>
      <c r="Q252" s="166"/>
      <c r="R252" s="166"/>
      <c r="S252" s="26"/>
      <c r="T252" s="166"/>
      <c r="U252" s="166"/>
    </row>
    <row r="253" spans="5:21">
      <c r="E253" s="26"/>
      <c r="F253" s="26"/>
      <c r="G253" s="165"/>
      <c r="H253" s="26"/>
      <c r="I253" s="26"/>
      <c r="J253" s="166"/>
      <c r="K253" s="166"/>
      <c r="L253" s="166"/>
      <c r="M253" s="166"/>
      <c r="N253" s="166"/>
      <c r="O253" s="166"/>
      <c r="P253" s="166"/>
      <c r="Q253" s="166"/>
      <c r="R253" s="166"/>
      <c r="S253" s="26"/>
      <c r="T253" s="166"/>
      <c r="U253" s="166"/>
    </row>
    <row r="254" spans="5:21">
      <c r="E254" s="26"/>
      <c r="F254" s="26"/>
      <c r="G254" s="165"/>
      <c r="H254" s="26"/>
      <c r="I254" s="26"/>
      <c r="J254" s="166"/>
      <c r="K254" s="166"/>
      <c r="L254" s="166"/>
      <c r="M254" s="166"/>
      <c r="N254" s="166"/>
      <c r="O254" s="166"/>
      <c r="P254" s="166"/>
      <c r="Q254" s="166"/>
      <c r="R254" s="166"/>
      <c r="S254" s="26"/>
      <c r="T254" s="166"/>
      <c r="U254" s="166"/>
    </row>
    <row r="255" spans="5:21">
      <c r="E255" s="26"/>
      <c r="F255" s="26"/>
      <c r="G255" s="165"/>
      <c r="H255" s="26"/>
      <c r="I255" s="26"/>
      <c r="J255" s="166"/>
      <c r="K255" s="166"/>
      <c r="L255" s="166"/>
      <c r="M255" s="166"/>
      <c r="N255" s="166"/>
      <c r="O255" s="166"/>
      <c r="P255" s="166"/>
      <c r="Q255" s="166"/>
      <c r="R255" s="166"/>
      <c r="S255" s="26"/>
      <c r="T255" s="166"/>
      <c r="U255" s="166"/>
    </row>
    <row r="256" spans="5:21">
      <c r="E256" s="26"/>
      <c r="F256" s="26"/>
      <c r="G256" s="165"/>
      <c r="H256" s="26"/>
      <c r="I256" s="26"/>
      <c r="J256" s="166"/>
      <c r="K256" s="166"/>
      <c r="L256" s="166"/>
      <c r="M256" s="166"/>
      <c r="N256" s="166"/>
      <c r="O256" s="166"/>
      <c r="P256" s="166"/>
      <c r="Q256" s="166"/>
      <c r="R256" s="166"/>
      <c r="S256" s="26"/>
      <c r="T256" s="166"/>
      <c r="U256" s="166"/>
    </row>
    <row r="257" spans="5:21">
      <c r="E257" s="26"/>
      <c r="F257" s="26"/>
      <c r="G257" s="165"/>
      <c r="H257" s="26"/>
      <c r="I257" s="26"/>
      <c r="J257" s="166"/>
      <c r="K257" s="166"/>
      <c r="L257" s="166"/>
      <c r="M257" s="166"/>
      <c r="N257" s="166"/>
      <c r="O257" s="166"/>
      <c r="P257" s="166"/>
      <c r="Q257" s="166"/>
      <c r="R257" s="166"/>
      <c r="S257" s="26"/>
      <c r="T257" s="166"/>
      <c r="U257" s="166"/>
    </row>
    <row r="258" spans="5:21">
      <c r="E258" s="26"/>
      <c r="F258" s="26"/>
      <c r="G258" s="165"/>
      <c r="H258" s="26"/>
      <c r="I258" s="26"/>
      <c r="J258" s="166"/>
      <c r="K258" s="166"/>
      <c r="L258" s="166"/>
      <c r="M258" s="166"/>
      <c r="N258" s="166"/>
      <c r="O258" s="166"/>
      <c r="P258" s="166"/>
      <c r="Q258" s="166"/>
      <c r="R258" s="166"/>
      <c r="S258" s="26"/>
      <c r="T258" s="166"/>
      <c r="U258" s="166"/>
    </row>
    <row r="259" spans="5:21">
      <c r="E259" s="26"/>
      <c r="F259" s="26"/>
      <c r="G259" s="165"/>
      <c r="H259" s="26"/>
      <c r="I259" s="26"/>
      <c r="J259" s="166"/>
      <c r="K259" s="166"/>
      <c r="L259" s="166"/>
      <c r="M259" s="166"/>
      <c r="N259" s="166"/>
      <c r="O259" s="166"/>
      <c r="P259" s="166"/>
      <c r="Q259" s="166"/>
      <c r="R259" s="166"/>
      <c r="S259" s="26"/>
      <c r="T259" s="166"/>
      <c r="U259" s="166"/>
    </row>
    <row r="260" spans="5:21">
      <c r="E260" s="26"/>
      <c r="F260" s="26"/>
      <c r="G260" s="165"/>
      <c r="H260" s="26"/>
      <c r="I260" s="26"/>
      <c r="J260" s="166"/>
      <c r="K260" s="166"/>
      <c r="L260" s="166"/>
      <c r="M260" s="166"/>
      <c r="N260" s="166"/>
      <c r="O260" s="166"/>
      <c r="P260" s="166"/>
      <c r="Q260" s="166"/>
      <c r="R260" s="166"/>
      <c r="S260" s="26"/>
      <c r="T260" s="166"/>
      <c r="U260" s="166"/>
    </row>
    <row r="261" spans="5:21">
      <c r="E261" s="26"/>
      <c r="F261" s="26"/>
      <c r="G261" s="165"/>
      <c r="H261" s="26"/>
      <c r="I261" s="26"/>
      <c r="J261" s="166"/>
      <c r="K261" s="166"/>
      <c r="L261" s="166"/>
      <c r="M261" s="166"/>
      <c r="N261" s="166"/>
      <c r="O261" s="166"/>
      <c r="P261" s="166"/>
      <c r="Q261" s="166"/>
      <c r="R261" s="166"/>
      <c r="S261" s="26"/>
      <c r="T261" s="166"/>
      <c r="U261" s="166"/>
    </row>
    <row r="262" spans="5:21">
      <c r="E262" s="26"/>
      <c r="F262" s="26"/>
      <c r="G262" s="165"/>
      <c r="H262" s="26"/>
      <c r="I262" s="26"/>
      <c r="J262" s="166"/>
      <c r="K262" s="166"/>
      <c r="L262" s="166"/>
      <c r="M262" s="166"/>
      <c r="N262" s="166"/>
      <c r="O262" s="166"/>
      <c r="P262" s="166"/>
      <c r="Q262" s="166"/>
      <c r="R262" s="166"/>
      <c r="S262" s="26"/>
      <c r="T262" s="166"/>
      <c r="U262" s="166"/>
    </row>
    <row r="263" spans="5:21">
      <c r="E263" s="26"/>
      <c r="F263" s="26"/>
      <c r="G263" s="165"/>
      <c r="H263" s="26"/>
      <c r="I263" s="26"/>
      <c r="J263" s="166"/>
      <c r="K263" s="166"/>
      <c r="L263" s="166"/>
      <c r="M263" s="166"/>
      <c r="N263" s="166"/>
      <c r="O263" s="166"/>
      <c r="P263" s="166"/>
      <c r="Q263" s="166"/>
      <c r="R263" s="166"/>
      <c r="S263" s="26"/>
      <c r="T263" s="166"/>
      <c r="U263" s="166"/>
    </row>
    <row r="264" spans="5:21">
      <c r="E264" s="26"/>
      <c r="F264" s="26"/>
      <c r="G264" s="165"/>
      <c r="H264" s="26"/>
      <c r="I264" s="26"/>
      <c r="J264" s="166"/>
      <c r="K264" s="166"/>
      <c r="L264" s="166"/>
      <c r="M264" s="166"/>
      <c r="N264" s="166"/>
      <c r="O264" s="166"/>
      <c r="P264" s="166"/>
      <c r="Q264" s="166"/>
      <c r="R264" s="166"/>
      <c r="S264" s="26"/>
      <c r="T264" s="166"/>
      <c r="U264" s="166"/>
    </row>
    <row r="265" spans="5:21">
      <c r="E265" s="26"/>
      <c r="F265" s="26"/>
      <c r="G265" s="165"/>
      <c r="H265" s="26"/>
      <c r="I265" s="26"/>
      <c r="J265" s="166"/>
      <c r="K265" s="166"/>
      <c r="L265" s="166"/>
      <c r="M265" s="166"/>
      <c r="N265" s="166"/>
      <c r="O265" s="166"/>
      <c r="P265" s="166"/>
      <c r="Q265" s="166"/>
      <c r="R265" s="166"/>
      <c r="S265" s="26"/>
      <c r="T265" s="166"/>
      <c r="U265" s="166"/>
    </row>
    <row r="266" spans="5:21">
      <c r="E266" s="26"/>
      <c r="F266" s="26"/>
      <c r="G266" s="165"/>
      <c r="H266" s="26"/>
      <c r="I266" s="26"/>
      <c r="J266" s="166"/>
      <c r="K266" s="166"/>
      <c r="L266" s="166"/>
      <c r="M266" s="166"/>
      <c r="N266" s="166"/>
      <c r="O266" s="166"/>
      <c r="P266" s="166"/>
      <c r="Q266" s="166"/>
      <c r="R266" s="166"/>
      <c r="S266" s="26"/>
      <c r="T266" s="166"/>
      <c r="U266" s="166"/>
    </row>
    <row r="267" spans="5:21">
      <c r="T267" s="166"/>
      <c r="U267" s="166"/>
    </row>
    <row r="268" spans="5:21">
      <c r="T268" s="166"/>
      <c r="U268" s="166"/>
    </row>
  </sheetData>
  <autoFilter ref="A2:AR90" xr:uid="{436F9945-3F33-418B-A865-30226C69B4B9}"/>
  <mergeCells count="7">
    <mergeCell ref="U1:U2"/>
    <mergeCell ref="T1:T2"/>
    <mergeCell ref="B1:C1"/>
    <mergeCell ref="E1:F1"/>
    <mergeCell ref="K1:L1"/>
    <mergeCell ref="N1:O1"/>
    <mergeCell ref="P1:R1"/>
  </mergeCells>
  <hyperlinks>
    <hyperlink ref="B94" r:id="rId1" xr:uid="{5588668A-66DF-44A1-8A3B-B88485A2B847}"/>
    <hyperlink ref="B95" r:id="rId2" location="chained_dollar" xr:uid="{53EE9DF5-776D-4386-B6D7-0ED95416C1F3}"/>
  </hyperlinks>
  <pageMargins left="0.7" right="0.7" top="0.75" bottom="0.75" header="0.3" footer="0.3"/>
  <pageSetup orientation="portrait" horizontalDpi="90" verticalDpi="90"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4:A20"/>
  <sheetViews>
    <sheetView workbookViewId="0"/>
  </sheetViews>
  <sheetFormatPr defaultColWidth="9" defaultRowHeight="13.8"/>
  <cols>
    <col min="1" max="1" width="9.44140625" bestFit="1" customWidth="1"/>
  </cols>
  <sheetData>
    <row r="14" spans="1:1">
      <c r="A14" s="55"/>
    </row>
    <row r="17" spans="1:1">
      <c r="A17" s="55"/>
    </row>
    <row r="20" spans="1:1">
      <c r="A20" s="5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3:F38"/>
  <sheetViews>
    <sheetView topLeftCell="A4" workbookViewId="0">
      <selection activeCell="Q17" sqref="Q17"/>
    </sheetView>
  </sheetViews>
  <sheetFormatPr defaultColWidth="9" defaultRowHeight="13.8"/>
  <cols>
    <col min="5" max="5" width="18.44140625" bestFit="1" customWidth="1"/>
    <col min="6" max="6" width="11.109375" bestFit="1" customWidth="1"/>
  </cols>
  <sheetData>
    <row r="3" spans="2:2">
      <c r="B3" t="s">
        <v>1</v>
      </c>
    </row>
    <row r="4" spans="2:2">
      <c r="B4" t="s">
        <v>21</v>
      </c>
    </row>
    <row r="5" spans="2:2">
      <c r="B5" t="s">
        <v>2</v>
      </c>
    </row>
    <row r="7" spans="2:2">
      <c r="B7" t="s">
        <v>3</v>
      </c>
    </row>
    <row r="8" spans="2:2">
      <c r="B8" t="s">
        <v>4</v>
      </c>
    </row>
    <row r="9" spans="2:2">
      <c r="B9" t="s">
        <v>25</v>
      </c>
    </row>
    <row r="19" spans="2:6">
      <c r="B19" t="s">
        <v>51</v>
      </c>
    </row>
    <row r="20" spans="2:6">
      <c r="B20" t="s">
        <v>52</v>
      </c>
    </row>
    <row r="21" spans="2:6">
      <c r="B21" t="s">
        <v>53</v>
      </c>
    </row>
    <row r="23" spans="2:6">
      <c r="B23" t="str">
        <f>IF('User Dashboard'!$C$7=3,'drop downs'!F23,'drop downs'!E23)</f>
        <v>Uncontrolled</v>
      </c>
      <c r="E23" t="s">
        <v>29</v>
      </c>
      <c r="F23" t="s">
        <v>29</v>
      </c>
    </row>
    <row r="24" spans="2:6">
      <c r="B24" t="str">
        <f>IF('User Dashboard'!$C$7=3,'drop downs'!F24,'drop downs'!E24)</f>
        <v>Uncontrolled</v>
      </c>
      <c r="E24" t="s">
        <v>54</v>
      </c>
      <c r="F24" t="s">
        <v>29</v>
      </c>
    </row>
    <row r="25" spans="2:6">
      <c r="B25" t="str">
        <f>IF('User Dashboard'!$C$7=3,'drop downs'!F25,'drop downs'!E25)</f>
        <v>Uncontrolled</v>
      </c>
      <c r="E25" t="s">
        <v>55</v>
      </c>
      <c r="F25" t="s">
        <v>29</v>
      </c>
    </row>
    <row r="29" spans="2:6">
      <c r="B29" t="s">
        <v>483</v>
      </c>
    </row>
    <row r="30" spans="2:6">
      <c r="B30" t="s">
        <v>484</v>
      </c>
    </row>
    <row r="32" spans="2:6">
      <c r="B32" t="s">
        <v>487</v>
      </c>
    </row>
    <row r="33" spans="2:2">
      <c r="B33" t="s">
        <v>488</v>
      </c>
    </row>
    <row r="34" spans="2:2">
      <c r="B34" t="s">
        <v>492</v>
      </c>
    </row>
    <row r="35" spans="2:2">
      <c r="B35" t="s">
        <v>489</v>
      </c>
    </row>
    <row r="37" spans="2:2">
      <c r="B37" t="s">
        <v>485</v>
      </c>
    </row>
    <row r="38" spans="2:2">
      <c r="B38" t="s">
        <v>486</v>
      </c>
    </row>
  </sheetData>
  <phoneticPr fontId="1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5B365957C7CB40992C2FD98AC36155" ma:contentTypeVersion="12" ma:contentTypeDescription="Create a new document." ma:contentTypeScope="" ma:versionID="b2816d0ef92202c65df612e814dd258a">
  <xsd:schema xmlns:xsd="http://www.w3.org/2001/XMLSchema" xmlns:xs="http://www.w3.org/2001/XMLSchema" xmlns:p="http://schemas.microsoft.com/office/2006/metadata/properties" xmlns:ns2="b48abb86-6b75-4cc9-8ac7-293f3cb026c9" xmlns:ns3="b2b8bedc-0fcb-47cf-97d0-3e95d67c491f" targetNamespace="http://schemas.microsoft.com/office/2006/metadata/properties" ma:root="true" ma:fieldsID="c75008b61cef3e70b590bf96d7308de9" ns2:_="" ns3:_="">
    <xsd:import namespace="b48abb86-6b75-4cc9-8ac7-293f3cb026c9"/>
    <xsd:import namespace="b2b8bedc-0fcb-47cf-97d0-3e95d67c491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Workingon"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abb86-6b75-4cc9-8ac7-293f3cb026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Workingon" ma:index="18" nillable="true" ma:displayName="Working on" ma:description="Who is working on the document" ma:format="Dropdown" ma:list="UserInfo" ma:SharePointGroup="0" ma:internalName="Workingo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est" ma:index="19" nillable="true" ma:displayName="test" ma:format="Dropdown" ma:internalName="tes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b8bedc-0fcb-47cf-97d0-3e95d67c49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b48abb86-6b75-4cc9-8ac7-293f3cb026c9" xsi:nil="true"/>
    <Workingon xmlns="b48abb86-6b75-4cc9-8ac7-293f3cb026c9">
      <UserInfo>
        <DisplayName/>
        <AccountId xsi:nil="true"/>
        <AccountType/>
      </UserInfo>
    </Workingon>
    <SharedWithUsers xmlns="b2b8bedc-0fcb-47cf-97d0-3e95d67c491f">
      <UserInfo>
        <DisplayName/>
        <AccountId xsi:nil="true"/>
        <AccountType/>
      </UserInfo>
    </SharedWithUsers>
  </documentManagement>
</p:properties>
</file>

<file path=customXml/itemProps1.xml><?xml version="1.0" encoding="utf-8"?>
<ds:datastoreItem xmlns:ds="http://schemas.openxmlformats.org/officeDocument/2006/customXml" ds:itemID="{3414FD2C-8642-4913-B695-A9AD42C06F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abb86-6b75-4cc9-8ac7-293f3cb026c9"/>
    <ds:schemaRef ds:uri="b2b8bedc-0fcb-47cf-97d0-3e95d67c49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54E193-1BB3-4DC1-A8AD-2228590D137E}">
  <ds:schemaRefs>
    <ds:schemaRef ds:uri="http://schemas.microsoft.com/sharepoint/v3/contenttype/forms"/>
  </ds:schemaRefs>
</ds:datastoreItem>
</file>

<file path=customXml/itemProps3.xml><?xml version="1.0" encoding="utf-8"?>
<ds:datastoreItem xmlns:ds="http://schemas.openxmlformats.org/officeDocument/2006/customXml" ds:itemID="{7D846A94-2BFD-4159-92AF-02873793800E}">
  <ds:schemaRefs>
    <ds:schemaRef ds:uri="http://schemas.openxmlformats.org/package/2006/metadata/core-properties"/>
    <ds:schemaRef ds:uri="http://purl.org/dc/terms/"/>
    <ds:schemaRef ds:uri="http://purl.org/dc/elements/1.1/"/>
    <ds:schemaRef ds:uri="http://schemas.microsoft.com/office/2006/documentManagement/types"/>
    <ds:schemaRef ds:uri="http://www.w3.org/XML/1998/namespace"/>
    <ds:schemaRef ds:uri="b2b8bedc-0fcb-47cf-97d0-3e95d67c491f"/>
    <ds:schemaRef ds:uri="b48abb86-6b75-4cc9-8ac7-293f3cb026c9"/>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User Dashboard</vt:lpstr>
      <vt:lpstr>Output</vt:lpstr>
      <vt:lpstr>Commodity</vt:lpstr>
      <vt:lpstr>T&amp;D</vt:lpstr>
      <vt:lpstr>Emissions</vt:lpstr>
      <vt:lpstr>Methane Leakage</vt:lpstr>
      <vt:lpstr>Other Inputs</vt:lpstr>
      <vt:lpstr>AGIC</vt:lpstr>
      <vt:lpstr>References</vt:lpstr>
      <vt:lpstr>Change Log</vt:lpstr>
      <vt:lpstr>IEPR Gas Prices Nominal</vt:lpstr>
      <vt:lpstr>IEPR Gas Prices Real</vt:lpstr>
      <vt:lpstr>Notes</vt:lpstr>
      <vt:lpstr>drop downs</vt:lpstr>
    </vt:vector>
  </TitlesOfParts>
  <Company>E3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ver. 6</dc:subject>
  <dc:creator>Energy and Environmental Economics, Inc. (415)391-5100</dc:creator>
  <cp:keywords>CPUC Avoided Cost</cp:keywords>
  <dc:description>Prepared by E3, Inc. for the California Public Utilities Comission.</dc:description>
  <cp:lastModifiedBy>Sumin Wang</cp:lastModifiedBy>
  <cp:lastPrinted>2010-05-05T17:15:35Z</cp:lastPrinted>
  <dcterms:created xsi:type="dcterms:W3CDTF">2003-10-23T22:01:03Z</dcterms:created>
  <dcterms:modified xsi:type="dcterms:W3CDTF">2022-08-11T19:15:59Z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{2AE9572C-5240-488D-AA54-3FE71EBBD264}</vt:lpwstr>
  </property>
  <property fmtid="{D5CDD505-2E9C-101B-9397-08002B2CF9AE}" pid="3" name="ContentTypeId">
    <vt:lpwstr>0x010100685B365957C7CB40992C2FD98AC36155</vt:lpwstr>
  </property>
  <property fmtid="{D5CDD505-2E9C-101B-9397-08002B2CF9AE}" pid="4" name="Order">
    <vt:r8>76600</vt:r8>
  </property>
  <property fmtid="{D5CDD505-2E9C-101B-9397-08002B2CF9AE}" pid="5" name="ComplianceAssetId">
    <vt:lpwstr/>
  </property>
</Properties>
</file>